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C3A26FBE-086F-4374-9EA2-D858806136BE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8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7" l="1"/>
  <c r="L4" i="47"/>
  <c r="O4" i="47" s="1"/>
  <c r="N3" i="47"/>
  <c r="L3" i="47"/>
  <c r="L5" i="47" s="1"/>
  <c r="J27" i="38"/>
  <c r="T24" i="38"/>
  <c r="S24" i="38"/>
  <c r="R24" i="38"/>
  <c r="O24" i="38"/>
  <c r="P24" i="38" s="1"/>
  <c r="M24" i="38"/>
  <c r="L24" i="38"/>
  <c r="F24" i="38"/>
  <c r="E24" i="38"/>
  <c r="D24" i="38"/>
  <c r="T22" i="38"/>
  <c r="S22" i="38"/>
  <c r="R22" i="38"/>
  <c r="L22" i="38"/>
  <c r="M22" i="38" s="1"/>
  <c r="F22" i="38"/>
  <c r="E22" i="38"/>
  <c r="D22" i="38"/>
  <c r="T21" i="38"/>
  <c r="S21" i="38"/>
  <c r="R21" i="38"/>
  <c r="L21" i="38"/>
  <c r="O21" i="38" s="1"/>
  <c r="P21" i="38" s="1"/>
  <c r="F21" i="38"/>
  <c r="E21" i="38"/>
  <c r="D21" i="38"/>
  <c r="T20" i="38"/>
  <c r="S20" i="38"/>
  <c r="L20" i="38" s="1"/>
  <c r="R20" i="38"/>
  <c r="F20" i="38"/>
  <c r="E20" i="38"/>
  <c r="D20" i="38"/>
  <c r="T18" i="38"/>
  <c r="S18" i="38"/>
  <c r="L18" i="38" s="1"/>
  <c r="R18" i="38"/>
  <c r="F18" i="38"/>
  <c r="E18" i="38"/>
  <c r="D18" i="38"/>
  <c r="T17" i="38"/>
  <c r="S17" i="38"/>
  <c r="L17" i="38" s="1"/>
  <c r="R17" i="38"/>
  <c r="F17" i="38"/>
  <c r="E17" i="38"/>
  <c r="D17" i="38"/>
  <c r="T16" i="38"/>
  <c r="S16" i="38"/>
  <c r="L16" i="38" s="1"/>
  <c r="R16" i="38"/>
  <c r="F16" i="38"/>
  <c r="E16" i="38"/>
  <c r="D16" i="38"/>
  <c r="T14" i="38"/>
  <c r="S14" i="38"/>
  <c r="R14" i="38"/>
  <c r="L14" i="38"/>
  <c r="O14" i="38" s="1"/>
  <c r="P14" i="38" s="1"/>
  <c r="F14" i="38"/>
  <c r="E14" i="38"/>
  <c r="D14" i="38"/>
  <c r="O3" i="47" l="1"/>
  <c r="O5" i="47" s="1"/>
  <c r="M16" i="38"/>
  <c r="O16" i="38"/>
  <c r="P16" i="38" s="1"/>
  <c r="V16" i="38" s="1"/>
  <c r="O20" i="38"/>
  <c r="P20" i="38" s="1"/>
  <c r="M20" i="38"/>
  <c r="O18" i="38"/>
  <c r="P18" i="38" s="1"/>
  <c r="V18" i="38" s="1"/>
  <c r="M18" i="38"/>
  <c r="O17" i="38"/>
  <c r="P17" i="38" s="1"/>
  <c r="V17" i="38" s="1"/>
  <c r="M17" i="38"/>
  <c r="M14" i="38"/>
  <c r="M27" i="38" s="1"/>
  <c r="M21" i="38"/>
  <c r="O22" i="38"/>
  <c r="P22" i="38" s="1"/>
  <c r="V27" i="38" l="1"/>
  <c r="P27" i="38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<sst xmlns="http://schemas.openxmlformats.org/spreadsheetml/2006/main" count="511" uniqueCount="202">
  <si>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</si>
  <si>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</si>
  <si>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</si>
  <si>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</si>
  <si>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</si>
  <si>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</si>
  <si>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</si>
  <si>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</si>
  <si>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</si>
  <si>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</si>
  <si>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</si>
  <si>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</si>
  <si>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</si>
  <si>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</si>
  <si>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</si>
  <si>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</si>
  <si>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</si>
  <si>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</si>
  <si>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</si>
  <si>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</si>
  <si>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</si>
  <si>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</si>
  <si>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</si>
  <si>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</si>
  <si>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</si>
  <si>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</si>
  <si>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</si>
  <si>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</si>
  <si>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</si>
  <si>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</si>
  <si>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</si>
  <si>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</si>
  <si>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</si>
  <si>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</si>
  <si>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</si>
  <si>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</si>
  <si>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</si>
  <si>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</si>
  <si>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</si>
  <si>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</si>
  <si>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</si>
  <si>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</si>
  <si>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</si>
  <si>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</si>
  <si>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</si>
  <si>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</si>
  <si>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</si>
  <si>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</si>
  <si>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</si>
  <si>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</si>
  <si>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</si>
  <si>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</si>
  <si>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</si>
  <si>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</si>
  <si>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</si>
  <si>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</si>
  <si>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</si>
  <si>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</si>
  <si>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</si>
  <si>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</si>
  <si>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</si>
  <si>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</si>
  <si>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</si>
  <si>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</si>
  <si>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</si>
  <si>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</si>
  <si>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</si>
  <si>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</si>
  <si>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</si>
  <si>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</si>
  <si>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</si>
  <si>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</si>
  <si>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</si>
  <si>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</si>
  <si>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</si>
  <si>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</si>
  <si>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</si>
  <si>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</si>
  <si>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</si>
  <si>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</si>
  <si>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</si>
  <si>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</si>
  <si>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</si>
  <si>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</si>
  <si>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</si>
  <si>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</si>
  <si>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</si>
  <si>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</si>
  <si>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</si>
  <si>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</si>
  <si>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</si>
  <si>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</si>
  <si>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</si>
  <si>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</si>
  <si>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</si>
  <si>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</si>
  <si>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</si>
  <si>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</si>
  <si>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</si>
  <si>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</si>
  <si>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</si>
  <si>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</si>
  <si>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</si>
  <si>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</si>
  <si>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</si>
  <si>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</si>
  <si>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</si>
  <si>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</si>
  <si>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</si>
  <si>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</si>
  <si>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</si>
  <si>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</si>
  <si>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</si>
  <si>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</si>
  <si>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</si>
  <si>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</si>
  <si>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</si>
  <si>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</si>
  <si>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</si>
  <si>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</si>
  <si>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</si>
  <si>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</si>
  <si>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</si>
  <si>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</si>
  <si>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</si>
  <si>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</si>
  <si>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</si>
  <si>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</si>
  <si>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</si>
  <si>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</si>
  <si>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</si>
  <si>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</si>
  <si>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</si>
  <si>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</si>
  <si>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</si>
  <si>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</si>
  <si>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</si>
  <si>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</si>
  <si>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</si>
  <si>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</si>
  <si>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</si>
  <si>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</si>
  <si>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</si>
  <si>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</si>
  <si>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</si>
  <si>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</si>
  <si>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</si>
  <si>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</si>
  <si>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</si>
  <si>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</si>
  <si>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</si>
  <si>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</si>
  <si>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</si>
  <si>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</si>
  <si>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</si>
  <si>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</si>
  <si>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</si>
  <si>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</si>
  <si>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</si>
  <si>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</si>
  <si>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</si>
  <si>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</si>
  <si>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</si>
  <si>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</si>
  <si>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</si>
  <si>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</si>
  <si>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</si>
  <si>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</si>
  <si>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</si>
  <si>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</si>
  <si>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</si>
  <si>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</si>
  <si>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</si>
  <si>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</si>
  <si>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RECORD NO ARAGUAIA</t>
  </si>
  <si>
    <t>JUNHO/JULHO</t>
  </si>
  <si>
    <t>JUN/JUL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</si>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</sst>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0" fillId="0" borderId="16" xfId="0" applyBorder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8" borderId="0" xfId="4" applyFont="1" applyFill="1" applyAlignment="1" applyProtection="1">
      <alignment horizontal="left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2" fontId="31" fillId="0" borderId="0" xfId="8" applyNumberFormat="1" applyFont="1" applyFill="1" applyBorder="1" applyAlignment="1">
      <alignment horizontal="center" vertical="center"/>
    </xf>
    <xf numFmtId="0" fontId="0" fillId="0" borderId="25" xfId="0" applyBorder="1"/>
    <xf numFmtId="0" fontId="34" fillId="14" borderId="51" xfId="49" applyFont="1" applyFill="1" applyBorder="1" applyAlignment="1">
      <alignment horizontal="center" vertical="center"/>
    </xf>
    <xf numFmtId="0" fontId="34" fillId="14" borderId="52" xfId="49" applyFont="1" applyFill="1" applyBorder="1" applyAlignment="1">
      <alignment horizontal="center" vertical="center" wrapText="1"/>
    </xf>
    <xf numFmtId="0" fontId="34" fillId="14" borderId="52" xfId="49" applyFont="1" applyFill="1" applyBorder="1" applyAlignment="1">
      <alignment horizontal="center" vertical="center"/>
    </xf>
    <xf numFmtId="3" fontId="34" fillId="14" borderId="52" xfId="49" applyNumberFormat="1" applyFont="1" applyFill="1" applyBorder="1" applyAlignment="1">
      <alignment horizontal="center" vertical="center" wrapText="1"/>
    </xf>
    <xf numFmtId="168" fontId="34" fillId="14" borderId="53" xfId="49" applyNumberFormat="1" applyFont="1" applyFill="1" applyBorder="1" applyAlignment="1">
      <alignment horizontal="center" vertical="center" wrapText="1"/>
    </xf>
    <xf numFmtId="169" fontId="34" fillId="14" borderId="53" xfId="49" applyNumberFormat="1" applyFont="1" applyFill="1" applyBorder="1" applyAlignment="1">
      <alignment horizontal="center" vertical="center" wrapText="1"/>
    </xf>
    <xf numFmtId="168" fontId="34" fillId="14" borderId="53" xfId="53" applyNumberFormat="1" applyFont="1" applyFill="1" applyBorder="1" applyAlignment="1">
      <alignment horizontal="center" vertical="center" wrapText="1"/>
    </xf>
    <xf numFmtId="168" fontId="34" fillId="14" borderId="54" xfId="49" applyNumberFormat="1" applyFont="1" applyFill="1" applyBorder="1" applyAlignment="1">
      <alignment horizontal="center" vertical="center" wrapText="1"/>
    </xf>
    <xf numFmtId="0" fontId="35" fillId="15" borderId="55" xfId="0" applyFont="1" applyFill="1" applyBorder="1" applyAlignment="1">
      <alignment horizontal="center" vertical="center" wrapText="1"/>
    </xf>
    <xf numFmtId="0" fontId="36" fillId="15" borderId="16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3" fontId="36" fillId="15" borderId="16" xfId="34" applyNumberFormat="1" applyFont="1" applyFill="1" applyBorder="1" applyAlignment="1" applyProtection="1">
      <alignment horizontal="center" vertical="center" wrapText="1"/>
    </xf>
    <xf numFmtId="0" fontId="36" fillId="15" borderId="16" xfId="19" applyFont="1" applyFill="1" applyBorder="1" applyAlignment="1">
      <alignment horizontal="center" vertical="center" wrapText="1"/>
    </xf>
    <xf numFmtId="168" fontId="36" fillId="15" borderId="16" xfId="32" applyNumberFormat="1" applyFont="1" applyFill="1" applyBorder="1" applyAlignment="1">
      <alignment horizontal="center" vertical="center"/>
    </xf>
    <xf numFmtId="168" fontId="36" fillId="16" borderId="16" xfId="32" applyNumberFormat="1" applyFont="1" applyFill="1" applyBorder="1" applyAlignment="1">
      <alignment horizontal="center" vertical="center"/>
    </xf>
    <xf numFmtId="9" fontId="38" fillId="17" borderId="16" xfId="43" applyFont="1" applyFill="1" applyBorder="1" applyAlignment="1">
      <alignment horizontal="center" vertical="center"/>
    </xf>
    <xf numFmtId="170" fontId="36" fillId="15" borderId="16" xfId="32" applyNumberFormat="1" applyFont="1" applyFill="1" applyBorder="1" applyAlignment="1">
      <alignment horizontal="center" vertical="center" wrapText="1"/>
    </xf>
    <xf numFmtId="168" fontId="36" fillId="15" borderId="16" xfId="32" applyNumberFormat="1" applyFont="1" applyFill="1" applyBorder="1" applyAlignment="1">
      <alignment horizontal="center" vertical="center" wrapText="1"/>
    </xf>
    <xf numFmtId="171" fontId="32" fillId="0" borderId="16" xfId="0" applyNumberFormat="1" applyFont="1" applyBorder="1" applyAlignment="1">
      <alignment vertical="center"/>
    </xf>
    <xf numFmtId="170" fontId="32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3" fontId="34" fillId="14" borderId="52" xfId="49" applyNumberFormat="1" applyFont="1" applyFill="1" applyBorder="1" applyAlignment="1">
      <alignment horizontal="center" vertical="center" wrapText="1"/>
    </xf>
    <xf numFmtId="4" fontId="34" fillId="14" borderId="52" xfId="49" applyNumberFormat="1" applyFont="1" applyFill="1" applyBorder="1" applyAlignment="1">
      <alignment horizontal="center" vertical="center" wrapText="1"/>
    </xf>
    <xf numFmtId="4" fontId="34" fillId="14" borderId="53" xfId="49" applyNumberFormat="1" applyFont="1" applyFill="1" applyBorder="1" applyAlignment="1">
      <alignment horizontal="center" vertical="center" wrapText="1"/>
    </xf>
    <xf numFmtId="0" fontId="39" fillId="15" borderId="24" xfId="0" applyFont="1" applyFill="1" applyBorder="1" applyAlignment="1">
      <alignment horizontal="left" vertical="center" wrapText="1"/>
    </xf>
    <xf numFmtId="0" fontId="39" fillId="15" borderId="35" xfId="0" applyFont="1" applyFill="1" applyBorder="1" applyAlignment="1">
      <alignment horizontal="left" vertical="center" wrapText="1"/>
    </xf>
    <xf numFmtId="0" fontId="39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2</xdr:col>
      <xdr:colOff>860320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97FCBD-C926-473E-ACD1-4E40C130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74795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8" bestFit="1" customWidth="1"/>
    <col min="4" max="4" width="33.140625" bestFit="1" customWidth="1"/>
  </cols>
  <sheetData>
    <row r="1" spans="1:5" x14ac:dyDescent="0.25">
      <c r="A1" s="84" t="s">
        <v>152</v>
      </c>
      <c r="B1" s="85" t="s">
        <v>153</v>
      </c>
      <c r="C1" t="s">
        <v>154</v>
      </c>
    </row>
    <row r="2" spans="1:5" x14ac:dyDescent="0.25">
      <c r="A2" s="84" t="s">
        <v>166</v>
      </c>
      <c r="B2" s="86">
        <v>5.07</v>
      </c>
      <c r="C2" s="86">
        <v>2.06</v>
      </c>
      <c r="D2" s="84"/>
    </row>
    <row r="3" spans="1:5" x14ac:dyDescent="0.25">
      <c r="A3" s="84" t="s">
        <v>138</v>
      </c>
      <c r="B3" s="86">
        <v>5.98</v>
      </c>
      <c r="C3" s="86">
        <v>2.39</v>
      </c>
      <c r="D3" s="84"/>
    </row>
    <row r="4" spans="1:5" x14ac:dyDescent="0.25">
      <c r="A4" s="84" t="s">
        <v>120</v>
      </c>
      <c r="B4" s="86">
        <v>3.19</v>
      </c>
      <c r="C4" s="86">
        <v>1.19</v>
      </c>
      <c r="D4" s="84"/>
    </row>
    <row r="5" spans="1:5" x14ac:dyDescent="0.25">
      <c r="A5" s="84" t="s">
        <v>167</v>
      </c>
      <c r="B5" s="86">
        <v>4.7699999999999996</v>
      </c>
      <c r="C5" s="86">
        <v>1.93</v>
      </c>
      <c r="D5" s="84"/>
    </row>
    <row r="6" spans="1:5" x14ac:dyDescent="0.25">
      <c r="A6" s="84" t="s">
        <v>64</v>
      </c>
      <c r="B6" s="86">
        <v>6.95</v>
      </c>
      <c r="C6" s="86">
        <v>2.5</v>
      </c>
      <c r="D6" s="84"/>
    </row>
    <row r="7" spans="1:5" x14ac:dyDescent="0.25">
      <c r="A7" s="84" t="s">
        <v>105</v>
      </c>
      <c r="B7" s="86">
        <v>0.39</v>
      </c>
      <c r="C7" s="86">
        <v>0.22</v>
      </c>
      <c r="D7" s="84"/>
    </row>
    <row r="8" spans="1:5" x14ac:dyDescent="0.25">
      <c r="A8" s="84" t="s">
        <v>71</v>
      </c>
      <c r="B8" s="86">
        <v>5.01</v>
      </c>
      <c r="C8" s="86">
        <v>2.15</v>
      </c>
      <c r="D8" s="84"/>
    </row>
    <row r="9" spans="1:5" x14ac:dyDescent="0.25">
      <c r="A9" s="84" t="s">
        <v>123</v>
      </c>
      <c r="B9" s="86">
        <v>5.76</v>
      </c>
      <c r="C9" s="86">
        <v>2.39</v>
      </c>
      <c r="D9" s="84"/>
    </row>
    <row r="10" spans="1:5" x14ac:dyDescent="0.25">
      <c r="A10" s="84" t="s">
        <v>169</v>
      </c>
      <c r="B10" s="86">
        <v>4.87</v>
      </c>
      <c r="C10" s="86">
        <v>2.16</v>
      </c>
      <c r="D10" s="84"/>
    </row>
    <row r="11" spans="1:5" x14ac:dyDescent="0.25">
      <c r="A11" s="84" t="s">
        <v>74</v>
      </c>
      <c r="B11" s="86">
        <v>9.57</v>
      </c>
      <c r="C11" s="86">
        <v>3.87</v>
      </c>
      <c r="D11" s="84"/>
    </row>
    <row r="12" spans="1:5" x14ac:dyDescent="0.25">
      <c r="A12" s="84" t="s">
        <v>115</v>
      </c>
      <c r="B12" s="86">
        <v>4.41</v>
      </c>
      <c r="C12" s="86">
        <v>1.83</v>
      </c>
      <c r="D12" s="84"/>
    </row>
    <row r="13" spans="1:5" x14ac:dyDescent="0.25">
      <c r="A13" s="84" t="s">
        <v>135</v>
      </c>
      <c r="B13" s="86">
        <v>4.6399999999999997</v>
      </c>
      <c r="C13" s="86">
        <v>2.0299999999999998</v>
      </c>
      <c r="D13" s="84"/>
    </row>
    <row r="14" spans="1:5" x14ac:dyDescent="0.25">
      <c r="A14" s="84" t="s">
        <v>142</v>
      </c>
      <c r="B14" s="86">
        <v>6.84</v>
      </c>
      <c r="C14" s="86">
        <v>2.81</v>
      </c>
      <c r="D14" s="84"/>
    </row>
    <row r="15" spans="1:5" x14ac:dyDescent="0.25">
      <c r="A15" s="84" t="s">
        <v>146</v>
      </c>
      <c r="B15" s="86">
        <v>3.02</v>
      </c>
      <c r="C15" s="86">
        <v>1.28</v>
      </c>
      <c r="D15" s="87"/>
      <c r="E15" s="87"/>
    </row>
    <row r="16" spans="1:5" x14ac:dyDescent="0.25">
      <c r="A16" s="84" t="s">
        <v>55</v>
      </c>
      <c r="B16" s="86">
        <v>3.21</v>
      </c>
      <c r="C16" s="86">
        <v>1.2</v>
      </c>
    </row>
    <row r="17" spans="1:5" x14ac:dyDescent="0.25">
      <c r="A17" s="84" t="s">
        <v>108</v>
      </c>
      <c r="B17" s="86">
        <v>2.66</v>
      </c>
      <c r="C17" s="86">
        <v>1.1000000000000001</v>
      </c>
    </row>
    <row r="18" spans="1:5" s="87" customFormat="1" x14ac:dyDescent="0.25">
      <c r="A18" s="84" t="s">
        <v>50</v>
      </c>
      <c r="B18" s="86">
        <v>2.54</v>
      </c>
      <c r="C18" s="86">
        <v>1</v>
      </c>
      <c r="D18"/>
      <c r="E18"/>
    </row>
    <row r="19" spans="1:5" s="87" customFormat="1" x14ac:dyDescent="0.25">
      <c r="A19" s="84" t="s">
        <v>78</v>
      </c>
      <c r="B19" s="86">
        <v>11.04</v>
      </c>
      <c r="C19" s="86">
        <v>4.24</v>
      </c>
      <c r="D19"/>
      <c r="E19"/>
    </row>
    <row r="20" spans="1:5" x14ac:dyDescent="0.25">
      <c r="A20" s="84" t="s">
        <v>61</v>
      </c>
      <c r="B20" s="86">
        <v>3.76</v>
      </c>
      <c r="C20" s="86">
        <v>1.4</v>
      </c>
    </row>
    <row r="21" spans="1:5" x14ac:dyDescent="0.25">
      <c r="A21" s="84" t="s">
        <v>82</v>
      </c>
      <c r="B21" s="86">
        <v>9.7200000000000006</v>
      </c>
      <c r="C21" s="86">
        <v>3.71</v>
      </c>
    </row>
    <row r="22" spans="1:5" x14ac:dyDescent="0.25">
      <c r="A22" s="84" t="s">
        <v>125</v>
      </c>
      <c r="B22" s="86">
        <v>7.32</v>
      </c>
      <c r="C22" s="86">
        <v>2.82</v>
      </c>
    </row>
    <row r="23" spans="1:5" x14ac:dyDescent="0.25">
      <c r="A23" s="84" t="s">
        <v>173</v>
      </c>
      <c r="B23" s="86">
        <v>2.56</v>
      </c>
      <c r="C23" s="86">
        <v>1.1399999999999999</v>
      </c>
    </row>
    <row r="24" spans="1:5" x14ac:dyDescent="0.25">
      <c r="A24" s="84" t="s">
        <v>87</v>
      </c>
      <c r="B24" s="86">
        <v>6.37</v>
      </c>
      <c r="C24" s="86">
        <v>2.56</v>
      </c>
    </row>
    <row r="25" spans="1:5" x14ac:dyDescent="0.25">
      <c r="A25" s="84" t="s">
        <v>85</v>
      </c>
      <c r="B25" s="86">
        <v>7.47</v>
      </c>
      <c r="C25" s="86">
        <v>3.51</v>
      </c>
    </row>
    <row r="26" spans="1:5" x14ac:dyDescent="0.25">
      <c r="A26" s="84" t="s">
        <v>68</v>
      </c>
      <c r="B26" s="86">
        <v>4.82</v>
      </c>
      <c r="C26" s="86">
        <v>1.96</v>
      </c>
    </row>
    <row r="27" spans="1:5" x14ac:dyDescent="0.25">
      <c r="A27" s="84" t="s">
        <v>95</v>
      </c>
      <c r="B27" s="86">
        <v>5.3</v>
      </c>
      <c r="C27" s="86">
        <v>2.09</v>
      </c>
    </row>
    <row r="28" spans="1:5" x14ac:dyDescent="0.25">
      <c r="A28" s="84" t="s">
        <v>133</v>
      </c>
      <c r="B28" s="86">
        <v>2.37</v>
      </c>
      <c r="C28" s="86">
        <v>0.92</v>
      </c>
    </row>
    <row r="29" spans="1:5" ht="14.25" customHeight="1" x14ac:dyDescent="0.25">
      <c r="A29" s="84" t="s">
        <v>148</v>
      </c>
      <c r="B29" s="86">
        <v>1.55</v>
      </c>
      <c r="C29" s="86">
        <v>0.69</v>
      </c>
    </row>
    <row r="30" spans="1:5" x14ac:dyDescent="0.25">
      <c r="A30" s="84" t="s">
        <v>99</v>
      </c>
      <c r="B30" s="86">
        <v>2.66</v>
      </c>
      <c r="C30" s="86">
        <v>1.1200000000000001</v>
      </c>
    </row>
    <row r="31" spans="1:5" x14ac:dyDescent="0.25">
      <c r="A31" s="84" t="s">
        <v>129</v>
      </c>
      <c r="B31" s="86">
        <v>2.5299999999999998</v>
      </c>
      <c r="C31" s="86">
        <v>1.19</v>
      </c>
    </row>
    <row r="32" spans="1:5" x14ac:dyDescent="0.25">
      <c r="A32" s="84" t="s">
        <v>30</v>
      </c>
      <c r="B32" s="86">
        <v>5.21</v>
      </c>
      <c r="C32" s="86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1" bestFit="1" customWidth="1"/>
    <col min="2" max="2" width="10.85546875" style="31" bestFit="1" customWidth="1"/>
    <col min="3" max="3" width="12.140625" style="31" bestFit="1" customWidth="1"/>
    <col min="4" max="4" width="13.85546875" style="31" bestFit="1" customWidth="1"/>
    <col min="5" max="5" width="11.7109375" style="31" bestFit="1" customWidth="1"/>
    <col min="6" max="6" width="33.28515625" style="31" bestFit="1" customWidth="1"/>
    <col min="7" max="7" width="8" style="34" bestFit="1" customWidth="1"/>
    <col min="8" max="8" width="10.42578125" style="34" bestFit="1" customWidth="1"/>
    <col min="9" max="9" width="8.85546875" style="31" bestFit="1" customWidth="1"/>
    <col min="10" max="11" width="8.85546875" style="31" customWidth="1"/>
    <col min="12" max="12" width="6.5703125" style="31" customWidth="1"/>
    <col min="13" max="13" width="3.42578125" style="31" customWidth="1"/>
    <col min="14" max="14" width="3.5703125" style="34" bestFit="1" customWidth="1"/>
    <col min="15" max="15" width="8.7109375" style="34" bestFit="1" customWidth="1"/>
    <col min="16" max="17" width="6.140625" style="34" customWidth="1"/>
    <col min="18" max="18" width="12.42578125" style="34" bestFit="1" customWidth="1"/>
    <col min="19" max="19" width="7" style="34" bestFit="1" customWidth="1"/>
    <col min="20" max="20" width="41.140625" style="34" bestFit="1" customWidth="1"/>
    <col min="21" max="21" width="7.42578125" style="31" bestFit="1" customWidth="1"/>
    <col min="22" max="22" width="8.140625" style="70" bestFit="1" customWidth="1"/>
    <col min="23" max="23" width="2.85546875" style="63" customWidth="1"/>
    <col min="24" max="24" width="3.5703125" style="31" customWidth="1"/>
    <col min="25" max="28" width="10.5703125" style="31" customWidth="1"/>
    <col min="29" max="29" width="22.7109375" style="31" bestFit="1" customWidth="1"/>
    <col min="30" max="31" width="10.5703125" style="31" customWidth="1"/>
    <col min="32" max="16384" width="10.7109375" style="31"/>
  </cols>
  <sheetData>
    <row r="1" spans="1:31" ht="12.75" customHeight="1" x14ac:dyDescent="0.2">
      <c r="B1" s="32"/>
      <c r="C1" s="32"/>
      <c r="D1" s="32"/>
      <c r="E1" s="32"/>
      <c r="F1" s="32"/>
      <c r="G1" s="33"/>
      <c r="H1" s="33"/>
      <c r="I1" s="32"/>
      <c r="J1" s="32"/>
      <c r="K1" s="32"/>
      <c r="L1" s="32"/>
      <c r="O1" s="35" t="s">
        <v>5</v>
      </c>
      <c r="P1" s="35" t="s">
        <v>6</v>
      </c>
      <c r="Q1" s="35" t="s">
        <v>6</v>
      </c>
      <c r="R1" s="35" t="s">
        <v>32</v>
      </c>
      <c r="S1" s="35" t="s">
        <v>33</v>
      </c>
      <c r="T1" s="35" t="s">
        <v>1</v>
      </c>
      <c r="U1" s="35" t="s">
        <v>34</v>
      </c>
      <c r="V1" s="36" t="s">
        <v>31</v>
      </c>
      <c r="W1" s="37"/>
    </row>
    <row r="2" spans="1:31" s="34" customFormat="1" ht="12.75" customHeight="1" x14ac:dyDescent="0.2">
      <c r="B2" s="38" t="s">
        <v>33</v>
      </c>
      <c r="C2" s="39" t="s">
        <v>5</v>
      </c>
      <c r="D2" s="39" t="s">
        <v>35</v>
      </c>
      <c r="E2" s="39" t="s">
        <v>32</v>
      </c>
      <c r="F2" s="39" t="s">
        <v>1</v>
      </c>
      <c r="G2" s="40" t="s">
        <v>36</v>
      </c>
      <c r="H2" s="39" t="s">
        <v>7</v>
      </c>
      <c r="I2" s="39" t="s">
        <v>37</v>
      </c>
      <c r="J2" s="39" t="s">
        <v>38</v>
      </c>
      <c r="K2" s="39" t="s">
        <v>39</v>
      </c>
      <c r="L2" s="39" t="s">
        <v>40</v>
      </c>
      <c r="M2" s="31"/>
      <c r="O2" s="41"/>
      <c r="P2" s="41" t="s">
        <v>41</v>
      </c>
      <c r="Q2" s="41" t="s">
        <v>42</v>
      </c>
      <c r="R2" s="41"/>
      <c r="S2" s="41"/>
      <c r="T2" s="41"/>
      <c r="U2" s="41" t="s">
        <v>43</v>
      </c>
      <c r="V2" s="42" t="s">
        <v>44</v>
      </c>
      <c r="W2" s="37"/>
    </row>
    <row r="3" spans="1:31" ht="11.25" customHeight="1" x14ac:dyDescent="0.2">
      <c r="A3" s="37">
        <v>1</v>
      </c>
      <c r="B3" s="43" t="str">
        <f t="shared" ref="B3" si="0">IF(S3="","",S3)</f>
        <v>GOAR</v>
      </c>
      <c r="C3" s="43" t="str">
        <f t="shared" ref="C3:D3" si="1">IF(O3="","",O3)</f>
        <v>SEG/SEX</v>
      </c>
      <c r="D3" s="44" t="str">
        <f t="shared" si="1"/>
        <v>06H30</v>
      </c>
      <c r="E3" s="43" t="str">
        <f t="shared" ref="E3" si="2">IF(R3="","",R3)</f>
        <v>JORNALISMO</v>
      </c>
      <c r="F3" s="45" t="str">
        <f t="shared" ref="F3" si="3">IF(T3="","",T3)</f>
        <v>GOIÁS NO AR</v>
      </c>
      <c r="G3" s="46">
        <f>preços4[[#This Row],[30"]]*preços4[[#This Row],[COEF]]</f>
        <v>1742</v>
      </c>
      <c r="H3" s="46">
        <f t="shared" ref="H3" si="4">IF(U3="","",U3)</f>
        <v>2680</v>
      </c>
      <c r="I3" s="46">
        <f>preços4[[#This Row],[30"]]*1.5</f>
        <v>4020</v>
      </c>
      <c r="J3" s="46">
        <f>preços4[[#This Row],[30"]]*2</f>
        <v>5360</v>
      </c>
      <c r="K3" s="46">
        <f>preços4[[#This Row],[60"]]*2</f>
        <v>10720</v>
      </c>
      <c r="L3" s="47">
        <f t="shared" ref="L3" si="5">IF(V3="","",V3)</f>
        <v>0.65</v>
      </c>
      <c r="N3" s="48">
        <v>1</v>
      </c>
      <c r="O3" s="49" t="s">
        <v>45</v>
      </c>
      <c r="P3" s="50" t="s">
        <v>46</v>
      </c>
      <c r="Q3" s="50" t="s">
        <v>47</v>
      </c>
      <c r="R3" s="50" t="s">
        <v>48</v>
      </c>
      <c r="S3" s="50" t="s">
        <v>49</v>
      </c>
      <c r="T3" s="50" t="s">
        <v>50</v>
      </c>
      <c r="U3" s="51">
        <v>2680</v>
      </c>
      <c r="V3" s="52">
        <v>0.65</v>
      </c>
      <c r="W3" s="37"/>
      <c r="Y3" s="53" t="s">
        <v>33</v>
      </c>
      <c r="Z3" s="53" t="s">
        <v>5</v>
      </c>
      <c r="AA3" s="53" t="s">
        <v>35</v>
      </c>
      <c r="AB3" s="53" t="s">
        <v>32</v>
      </c>
      <c r="AC3" s="53" t="s">
        <v>1</v>
      </c>
      <c r="AD3" s="53" t="s">
        <v>51</v>
      </c>
      <c r="AE3" s="53" t="s">
        <v>52</v>
      </c>
    </row>
    <row r="4" spans="1:31" ht="11.25" customHeight="1" x14ac:dyDescent="0.2">
      <c r="A4" s="37">
        <v>2</v>
      </c>
      <c r="B4" s="43" t="str">
        <f t="shared" ref="B4:B38" si="6">IF(S4="","",S4)</f>
        <v>FALA</v>
      </c>
      <c r="C4" s="43" t="str">
        <f t="shared" ref="C4:C38" si="7">IF(O4="","",O4)</f>
        <v>SEG/SEX</v>
      </c>
      <c r="D4" s="44" t="str">
        <f t="shared" ref="D4:D38" si="8">IF(P4="","",P4)</f>
        <v>08H30</v>
      </c>
      <c r="E4" s="43" t="str">
        <f t="shared" ref="E4:E38" si="9">IF(R4="","",R4)</f>
        <v>JORNALISMO</v>
      </c>
      <c r="F4" s="45" t="str">
        <f t="shared" ref="F4:F38" si="10">IF(T4="","",T4)</f>
        <v>FALA BRASIL</v>
      </c>
      <c r="G4" s="46">
        <f>preços4[[#This Row],[30"]]*preços4[[#This Row],[COEF]]</f>
        <v>2022</v>
      </c>
      <c r="H4" s="46">
        <f t="shared" ref="H4:H38" si="11">IF(U4="","",U4)</f>
        <v>4044</v>
      </c>
      <c r="I4" s="46">
        <f>preços4[[#This Row],[30"]]*1.5</f>
        <v>6066</v>
      </c>
      <c r="J4" s="46">
        <f>preços4[[#This Row],[30"]]*2</f>
        <v>8088</v>
      </c>
      <c r="K4" s="46">
        <f>preços4[[#This Row],[60"]]*2</f>
        <v>16176</v>
      </c>
      <c r="L4" s="47">
        <f t="shared" ref="L4:L38" si="12">IF(V4="","",V4)</f>
        <v>0.5</v>
      </c>
      <c r="N4" s="54">
        <v>2</v>
      </c>
      <c r="O4" s="55" t="s">
        <v>45</v>
      </c>
      <c r="P4" s="56" t="s">
        <v>47</v>
      </c>
      <c r="Q4" s="56" t="s">
        <v>53</v>
      </c>
      <c r="R4" s="56" t="s">
        <v>48</v>
      </c>
      <c r="S4" s="56" t="s">
        <v>54</v>
      </c>
      <c r="T4" s="56" t="s">
        <v>55</v>
      </c>
      <c r="U4" s="57">
        <v>4044</v>
      </c>
      <c r="V4" s="58">
        <v>0.5</v>
      </c>
      <c r="W4" s="37"/>
      <c r="Y4" s="59" t="s">
        <v>56</v>
      </c>
      <c r="Z4" s="59" t="s">
        <v>45</v>
      </c>
      <c r="AA4" s="59" t="s">
        <v>58</v>
      </c>
      <c r="AB4" s="59" t="s">
        <v>48</v>
      </c>
      <c r="AC4" s="59" t="s">
        <v>57</v>
      </c>
      <c r="AD4" s="60">
        <v>18360</v>
      </c>
      <c r="AE4" s="61">
        <v>60</v>
      </c>
    </row>
    <row r="5" spans="1:31" ht="11.25" customHeight="1" x14ac:dyDescent="0.2">
      <c r="A5" s="37">
        <v>3</v>
      </c>
      <c r="B5" s="43" t="str">
        <f t="shared" si="6"/>
        <v>HDIA</v>
      </c>
      <c r="C5" s="43" t="str">
        <f t="shared" si="7"/>
        <v>SEG/SEX</v>
      </c>
      <c r="D5" s="44" t="str">
        <f t="shared" si="8"/>
        <v>09H35</v>
      </c>
      <c r="E5" s="43" t="str">
        <f t="shared" si="9"/>
        <v>VARIEDADES</v>
      </c>
      <c r="F5" s="45" t="str">
        <f t="shared" si="10"/>
        <v>HOJE EM DIA</v>
      </c>
      <c r="G5" s="46">
        <f>preços4[[#This Row],[30"]]*preços4[[#This Row],[COEF]]</f>
        <v>2019.5</v>
      </c>
      <c r="H5" s="46">
        <f t="shared" si="11"/>
        <v>4039</v>
      </c>
      <c r="I5" s="46">
        <f>preços4[[#This Row],[30"]]*1.5</f>
        <v>6058.5</v>
      </c>
      <c r="J5" s="46">
        <f>preços4[[#This Row],[30"]]*2</f>
        <v>8078</v>
      </c>
      <c r="K5" s="46">
        <f>preços4[[#This Row],[60"]]*2</f>
        <v>16156</v>
      </c>
      <c r="L5" s="47">
        <f t="shared" si="12"/>
        <v>0.5</v>
      </c>
      <c r="N5" s="54">
        <v>3</v>
      </c>
      <c r="O5" s="55" t="s">
        <v>45</v>
      </c>
      <c r="P5" s="56" t="s">
        <v>53</v>
      </c>
      <c r="Q5" s="56" t="s">
        <v>130</v>
      </c>
      <c r="R5" s="56" t="s">
        <v>59</v>
      </c>
      <c r="S5" s="56" t="s">
        <v>60</v>
      </c>
      <c r="T5" s="56" t="s">
        <v>61</v>
      </c>
      <c r="U5" s="57">
        <v>4039</v>
      </c>
      <c r="V5" s="58">
        <v>0.5</v>
      </c>
      <c r="W5" s="37"/>
      <c r="Y5" s="59" t="s">
        <v>56</v>
      </c>
      <c r="Z5" s="59" t="s">
        <v>45</v>
      </c>
      <c r="AA5" s="59" t="s">
        <v>58</v>
      </c>
      <c r="AB5" s="59" t="s">
        <v>48</v>
      </c>
      <c r="AC5" s="59" t="s">
        <v>57</v>
      </c>
      <c r="AD5" s="61">
        <f>AD4*1.5</f>
        <v>27540</v>
      </c>
      <c r="AE5" s="61">
        <v>90</v>
      </c>
    </row>
    <row r="6" spans="1:31" ht="11.25" customHeight="1" x14ac:dyDescent="0.2">
      <c r="A6" s="37">
        <v>4</v>
      </c>
      <c r="B6" s="43" t="str">
        <f t="shared" si="6"/>
        <v>BAGO</v>
      </c>
      <c r="C6" s="43" t="str">
        <f t="shared" si="7"/>
        <v>SEG/SEX</v>
      </c>
      <c r="D6" s="44" t="str">
        <f t="shared" si="8"/>
        <v>11H30</v>
      </c>
      <c r="E6" s="43" t="str">
        <f t="shared" si="9"/>
        <v>REPORTAGEM</v>
      </c>
      <c r="F6" s="45" t="str">
        <f t="shared" si="10"/>
        <v>BALANÇO GERAL GO</v>
      </c>
      <c r="G6" s="46">
        <f>preços4[[#This Row],[30"]]*preços4[[#This Row],[COEF]]</f>
        <v>5373.55</v>
      </c>
      <c r="H6" s="46">
        <f t="shared" si="11"/>
        <v>8267</v>
      </c>
      <c r="I6" s="46">
        <f>preços4[[#This Row],[30"]]*1.5</f>
        <v>12400.5</v>
      </c>
      <c r="J6" s="46">
        <f>preços4[[#This Row],[30"]]*2</f>
        <v>16534</v>
      </c>
      <c r="K6" s="46">
        <f>preços4[[#This Row],[60"]]*2</f>
        <v>33068</v>
      </c>
      <c r="L6" s="47">
        <f t="shared" si="12"/>
        <v>0.65</v>
      </c>
      <c r="N6" s="48">
        <v>4</v>
      </c>
      <c r="O6" s="49" t="s">
        <v>45</v>
      </c>
      <c r="P6" s="50" t="s">
        <v>58</v>
      </c>
      <c r="Q6" s="50" t="s">
        <v>62</v>
      </c>
      <c r="R6" s="50" t="s">
        <v>63</v>
      </c>
      <c r="S6" s="50" t="s">
        <v>56</v>
      </c>
      <c r="T6" s="50" t="s">
        <v>64</v>
      </c>
      <c r="U6" s="51">
        <v>8267</v>
      </c>
      <c r="V6" s="52">
        <v>0.65</v>
      </c>
      <c r="W6" s="37"/>
      <c r="Y6" s="59" t="s">
        <v>56</v>
      </c>
      <c r="Z6" s="59" t="s">
        <v>45</v>
      </c>
      <c r="AA6" s="59" t="s">
        <v>58</v>
      </c>
      <c r="AB6" s="59" t="s">
        <v>48</v>
      </c>
      <c r="AC6" s="59" t="s">
        <v>57</v>
      </c>
      <c r="AD6" s="61">
        <f>AD4*2</f>
        <v>36720</v>
      </c>
      <c r="AE6" s="61">
        <v>120</v>
      </c>
    </row>
    <row r="7" spans="1:31" ht="11.25" customHeight="1" x14ac:dyDescent="0.2">
      <c r="A7" s="37">
        <v>5</v>
      </c>
      <c r="B7" s="43" t="str">
        <f t="shared" si="6"/>
        <v>NVTD</v>
      </c>
      <c r="C7" s="43" t="str">
        <f t="shared" si="7"/>
        <v>SEG/SEX</v>
      </c>
      <c r="D7" s="44" t="str">
        <f t="shared" si="8"/>
        <v>15H30</v>
      </c>
      <c r="E7" s="43" t="str">
        <f t="shared" si="9"/>
        <v>NOVELA</v>
      </c>
      <c r="F7" s="45" t="str">
        <f t="shared" si="10"/>
        <v>NOVELA DA TARDE 1</v>
      </c>
      <c r="G7" s="46">
        <f>preços4[[#This Row],[30"]]*preços4[[#This Row],[COEF]]</f>
        <v>2596</v>
      </c>
      <c r="H7" s="46">
        <f t="shared" si="11"/>
        <v>5192</v>
      </c>
      <c r="I7" s="46">
        <f>preços4[[#This Row],[30"]]*1.5</f>
        <v>7788</v>
      </c>
      <c r="J7" s="46">
        <f>preços4[[#This Row],[30"]]*2</f>
        <v>10384</v>
      </c>
      <c r="K7" s="46">
        <f>preços4[[#This Row],[60"]]*2</f>
        <v>20768</v>
      </c>
      <c r="L7" s="47">
        <f t="shared" si="12"/>
        <v>0.5</v>
      </c>
      <c r="N7" s="54">
        <v>5</v>
      </c>
      <c r="O7" s="55" t="s">
        <v>45</v>
      </c>
      <c r="P7" s="56" t="s">
        <v>62</v>
      </c>
      <c r="Q7" s="56" t="s">
        <v>65</v>
      </c>
      <c r="R7" s="56" t="s">
        <v>66</v>
      </c>
      <c r="S7" s="56" t="s">
        <v>67</v>
      </c>
      <c r="T7" s="56" t="s">
        <v>68</v>
      </c>
      <c r="U7" s="57">
        <v>5192</v>
      </c>
      <c r="V7" s="58">
        <v>0.5</v>
      </c>
      <c r="W7" s="37"/>
      <c r="Y7" s="59" t="s">
        <v>56</v>
      </c>
      <c r="Z7" s="59" t="s">
        <v>45</v>
      </c>
      <c r="AA7" s="59" t="s">
        <v>58</v>
      </c>
      <c r="AB7" s="59" t="s">
        <v>48</v>
      </c>
      <c r="AC7" s="59" t="s">
        <v>57</v>
      </c>
      <c r="AD7" s="61">
        <f>AD4*2.5</f>
        <v>45900</v>
      </c>
      <c r="AE7" s="61">
        <v>150</v>
      </c>
    </row>
    <row r="8" spans="1:31" ht="11.25" customHeight="1" x14ac:dyDescent="0.2">
      <c r="A8" s="37">
        <v>6</v>
      </c>
      <c r="B8" s="43" t="str">
        <f t="shared" si="6"/>
        <v>CIAL</v>
      </c>
      <c r="C8" s="43" t="str">
        <f t="shared" si="7"/>
        <v>SEG/SEX</v>
      </c>
      <c r="D8" s="44" t="str">
        <f t="shared" si="8"/>
        <v>16H30</v>
      </c>
      <c r="E8" s="43" t="str">
        <f t="shared" si="9"/>
        <v>JORNALISMO</v>
      </c>
      <c r="F8" s="45" t="str">
        <f t="shared" si="10"/>
        <v>CIDADE ALERTA</v>
      </c>
      <c r="G8" s="46">
        <f>preços4[[#This Row],[30"]]*preços4[[#This Row],[COEF]]</f>
        <v>2852.2000000000003</v>
      </c>
      <c r="H8" s="46">
        <f t="shared" si="11"/>
        <v>4388</v>
      </c>
      <c r="I8" s="46">
        <f>preços4[[#This Row],[30"]]*1.5</f>
        <v>6582</v>
      </c>
      <c r="J8" s="46">
        <f>preços4[[#This Row],[30"]]*2</f>
        <v>8776</v>
      </c>
      <c r="K8" s="46">
        <f>preços4[[#This Row],[60"]]*2</f>
        <v>17552</v>
      </c>
      <c r="L8" s="47">
        <f t="shared" si="12"/>
        <v>0.65</v>
      </c>
      <c r="N8" s="54">
        <v>6</v>
      </c>
      <c r="O8" s="55" t="s">
        <v>45</v>
      </c>
      <c r="P8" s="56" t="s">
        <v>65</v>
      </c>
      <c r="Q8" s="56" t="s">
        <v>69</v>
      </c>
      <c r="R8" s="56" t="s">
        <v>48</v>
      </c>
      <c r="S8" s="56" t="s">
        <v>70</v>
      </c>
      <c r="T8" s="56" t="s">
        <v>71</v>
      </c>
      <c r="U8" s="57">
        <v>4388</v>
      </c>
      <c r="V8" s="58">
        <v>0.65</v>
      </c>
      <c r="W8" s="37"/>
      <c r="Y8" s="59" t="s">
        <v>56</v>
      </c>
      <c r="Z8" s="59" t="s">
        <v>45</v>
      </c>
      <c r="AA8" s="59" t="s">
        <v>58</v>
      </c>
      <c r="AB8" s="59" t="s">
        <v>48</v>
      </c>
      <c r="AC8" s="59" t="s">
        <v>57</v>
      </c>
      <c r="AD8" s="61">
        <f>AD4*3</f>
        <v>55080</v>
      </c>
      <c r="AE8" s="61">
        <v>180</v>
      </c>
    </row>
    <row r="9" spans="1:31" ht="11.25" customHeight="1" x14ac:dyDescent="0.2">
      <c r="A9" s="37">
        <v>7</v>
      </c>
      <c r="B9" s="43" t="str">
        <f t="shared" si="6"/>
        <v>CALG</v>
      </c>
      <c r="C9" s="43" t="str">
        <f t="shared" si="7"/>
        <v>SEG/SEX</v>
      </c>
      <c r="D9" s="44" t="str">
        <f t="shared" si="8"/>
        <v>18H00</v>
      </c>
      <c r="E9" s="43" t="str">
        <f t="shared" si="9"/>
        <v>JORNALISMO</v>
      </c>
      <c r="F9" s="45" t="str">
        <f t="shared" si="10"/>
        <v>CIDADE ALERTA GO</v>
      </c>
      <c r="G9" s="46">
        <f>preços4[[#This Row],[30"]]*preços4[[#This Row],[COEF]]</f>
        <v>5019.3</v>
      </c>
      <c r="H9" s="46">
        <f t="shared" si="11"/>
        <v>7722</v>
      </c>
      <c r="I9" s="46">
        <f>preços4[[#This Row],[30"]]*1.5</f>
        <v>11583</v>
      </c>
      <c r="J9" s="46">
        <f>preços4[[#This Row],[30"]]*2</f>
        <v>15444</v>
      </c>
      <c r="K9" s="46">
        <f>preços4[[#This Row],[60"]]*2</f>
        <v>30888</v>
      </c>
      <c r="L9" s="47">
        <f t="shared" si="12"/>
        <v>0.65</v>
      </c>
      <c r="N9" s="48">
        <v>7</v>
      </c>
      <c r="O9" s="49" t="s">
        <v>45</v>
      </c>
      <c r="P9" s="50" t="s">
        <v>69</v>
      </c>
      <c r="Q9" s="50" t="s">
        <v>72</v>
      </c>
      <c r="R9" s="50" t="s">
        <v>48</v>
      </c>
      <c r="S9" s="50" t="s">
        <v>73</v>
      </c>
      <c r="T9" s="50" t="s">
        <v>74</v>
      </c>
      <c r="U9" s="51">
        <v>7722</v>
      </c>
      <c r="V9" s="52">
        <v>0.65</v>
      </c>
      <c r="W9" s="37"/>
      <c r="Y9" s="59" t="s">
        <v>73</v>
      </c>
      <c r="Z9" s="59" t="s">
        <v>45</v>
      </c>
      <c r="AA9" s="59" t="s">
        <v>69</v>
      </c>
      <c r="AB9" s="59" t="s">
        <v>48</v>
      </c>
      <c r="AC9" s="59" t="s">
        <v>75</v>
      </c>
      <c r="AD9" s="60">
        <v>17850</v>
      </c>
      <c r="AE9" s="61">
        <v>60</v>
      </c>
    </row>
    <row r="10" spans="1:31" ht="11.25" customHeight="1" x14ac:dyDescent="0.2">
      <c r="A10" s="37">
        <v>8</v>
      </c>
      <c r="B10" s="43" t="str">
        <f t="shared" si="6"/>
        <v>GORC</v>
      </c>
      <c r="C10" s="43" t="str">
        <f t="shared" si="7"/>
        <v>SEG/SEX</v>
      </c>
      <c r="D10" s="44" t="str">
        <f t="shared" si="8"/>
        <v>19H10</v>
      </c>
      <c r="E10" s="43" t="str">
        <f t="shared" si="9"/>
        <v>JORNALISMO</v>
      </c>
      <c r="F10" s="45" t="str">
        <f t="shared" si="10"/>
        <v>GOIÁS RECORD</v>
      </c>
      <c r="G10" s="46">
        <f>preços4[[#This Row],[30"]]*preços4[[#This Row],[COEF]]</f>
        <v>6757.4000000000005</v>
      </c>
      <c r="H10" s="46">
        <f t="shared" si="11"/>
        <v>10396</v>
      </c>
      <c r="I10" s="46">
        <f>preços4[[#This Row],[30"]]*1.5</f>
        <v>15594</v>
      </c>
      <c r="J10" s="46">
        <f>preços4[[#This Row],[30"]]*2</f>
        <v>20792</v>
      </c>
      <c r="K10" s="46">
        <f>preços4[[#This Row],[60"]]*2</f>
        <v>41584</v>
      </c>
      <c r="L10" s="47">
        <f t="shared" si="12"/>
        <v>0.65</v>
      </c>
      <c r="N10" s="48">
        <v>8</v>
      </c>
      <c r="O10" s="49" t="s">
        <v>45</v>
      </c>
      <c r="P10" s="50" t="s">
        <v>72</v>
      </c>
      <c r="Q10" s="50" t="s">
        <v>76</v>
      </c>
      <c r="R10" s="50" t="s">
        <v>48</v>
      </c>
      <c r="S10" s="50" t="s">
        <v>77</v>
      </c>
      <c r="T10" s="50" t="s">
        <v>78</v>
      </c>
      <c r="U10" s="51">
        <v>10396</v>
      </c>
      <c r="V10" s="52">
        <v>0.65</v>
      </c>
      <c r="W10" s="37"/>
      <c r="Y10" s="59" t="s">
        <v>73</v>
      </c>
      <c r="Z10" s="59" t="s">
        <v>45</v>
      </c>
      <c r="AA10" s="59" t="s">
        <v>69</v>
      </c>
      <c r="AB10" s="59" t="s">
        <v>48</v>
      </c>
      <c r="AC10" s="59" t="s">
        <v>75</v>
      </c>
      <c r="AD10" s="61">
        <f>AD9*1.5</f>
        <v>26775</v>
      </c>
      <c r="AE10" s="61">
        <v>90</v>
      </c>
    </row>
    <row r="11" spans="1:31" ht="11.25" customHeight="1" x14ac:dyDescent="0.2">
      <c r="A11" s="37">
        <v>9</v>
      </c>
      <c r="B11" s="43" t="str">
        <f t="shared" si="6"/>
        <v>JREC</v>
      </c>
      <c r="C11" s="43" t="str">
        <f t="shared" si="7"/>
        <v>SEG/SEX</v>
      </c>
      <c r="D11" s="44" t="str">
        <f t="shared" si="8"/>
        <v>19H55</v>
      </c>
      <c r="E11" s="43" t="str">
        <f t="shared" si="9"/>
        <v>JORNALISMO</v>
      </c>
      <c r="F11" s="45" t="str">
        <f t="shared" si="10"/>
        <v>JORNAL DA RECORD</v>
      </c>
      <c r="G11" s="46">
        <f>preços4[[#This Row],[30"]]*preços4[[#This Row],[COEF]]</f>
        <v>14716</v>
      </c>
      <c r="H11" s="46">
        <f t="shared" si="11"/>
        <v>22640</v>
      </c>
      <c r="I11" s="46">
        <f>preços4[[#This Row],[30"]]*1.5</f>
        <v>33960</v>
      </c>
      <c r="J11" s="46">
        <f>preços4[[#This Row],[30"]]*2</f>
        <v>45280</v>
      </c>
      <c r="K11" s="46">
        <f>preços4[[#This Row],[60"]]*2</f>
        <v>90560</v>
      </c>
      <c r="L11" s="47">
        <f t="shared" si="12"/>
        <v>0.65</v>
      </c>
      <c r="N11" s="54">
        <v>9</v>
      </c>
      <c r="O11" s="55" t="s">
        <v>45</v>
      </c>
      <c r="P11" s="62" t="s">
        <v>79</v>
      </c>
      <c r="Q11" s="56" t="s">
        <v>80</v>
      </c>
      <c r="R11" s="56" t="s">
        <v>48</v>
      </c>
      <c r="S11" s="56" t="s">
        <v>81</v>
      </c>
      <c r="T11" s="56" t="s">
        <v>82</v>
      </c>
      <c r="U11" s="57">
        <v>22640</v>
      </c>
      <c r="V11" s="58">
        <v>0.65</v>
      </c>
      <c r="W11" s="37"/>
      <c r="Y11" s="59" t="s">
        <v>73</v>
      </c>
      <c r="Z11" s="59" t="s">
        <v>45</v>
      </c>
      <c r="AA11" s="59" t="s">
        <v>69</v>
      </c>
      <c r="AB11" s="59" t="s">
        <v>48</v>
      </c>
      <c r="AC11" s="59" t="s">
        <v>75</v>
      </c>
      <c r="AD11" s="61">
        <f>AD9*2</f>
        <v>35700</v>
      </c>
      <c r="AE11" s="61">
        <v>120</v>
      </c>
    </row>
    <row r="12" spans="1:31" ht="11.25" customHeight="1" x14ac:dyDescent="0.2">
      <c r="A12" s="37">
        <v>10</v>
      </c>
      <c r="B12" s="43" t="str">
        <f t="shared" si="6"/>
        <v>NOVE</v>
      </c>
      <c r="C12" s="43" t="str">
        <f t="shared" si="7"/>
        <v>SEG/SEX</v>
      </c>
      <c r="D12" s="44" t="str">
        <f t="shared" si="8"/>
        <v>21H00</v>
      </c>
      <c r="E12" s="43" t="str">
        <f t="shared" si="9"/>
        <v>NOVELA</v>
      </c>
      <c r="F12" s="45" t="str">
        <f t="shared" si="10"/>
        <v xml:space="preserve">NOVELA 3 </v>
      </c>
      <c r="G12" s="46">
        <f>preços4[[#This Row],[30"]]*preços4[[#This Row],[COEF]]</f>
        <v>13991.25</v>
      </c>
      <c r="H12" s="46">
        <f t="shared" si="11"/>
        <v>21525</v>
      </c>
      <c r="I12" s="46">
        <f>preços4[[#This Row],[30"]]*1.5</f>
        <v>32287.5</v>
      </c>
      <c r="J12" s="46">
        <f>preços4[[#This Row],[30"]]*2</f>
        <v>43050</v>
      </c>
      <c r="K12" s="46">
        <f>preços4[[#This Row],[60"]]*2</f>
        <v>86100</v>
      </c>
      <c r="L12" s="47">
        <f t="shared" si="12"/>
        <v>0.65</v>
      </c>
      <c r="N12" s="54">
        <v>10</v>
      </c>
      <c r="O12" s="55" t="s">
        <v>45</v>
      </c>
      <c r="P12" s="62" t="s">
        <v>80</v>
      </c>
      <c r="Q12" s="56" t="s">
        <v>83</v>
      </c>
      <c r="R12" s="56" t="s">
        <v>66</v>
      </c>
      <c r="S12" s="56" t="s">
        <v>84</v>
      </c>
      <c r="T12" s="56" t="s">
        <v>85</v>
      </c>
      <c r="U12" s="57">
        <v>21525</v>
      </c>
      <c r="V12" s="58">
        <v>0.65</v>
      </c>
      <c r="W12" s="37"/>
      <c r="Y12" s="59" t="s">
        <v>73</v>
      </c>
      <c r="Z12" s="59" t="s">
        <v>45</v>
      </c>
      <c r="AA12" s="59" t="s">
        <v>69</v>
      </c>
      <c r="AB12" s="59" t="s">
        <v>48</v>
      </c>
      <c r="AC12" s="59" t="s">
        <v>75</v>
      </c>
      <c r="AD12" s="61">
        <f>AD9*2.5</f>
        <v>44625</v>
      </c>
      <c r="AE12" s="61">
        <v>150</v>
      </c>
    </row>
    <row r="13" spans="1:31" ht="11.25" customHeight="1" x14ac:dyDescent="0.2">
      <c r="A13" s="37">
        <v>11</v>
      </c>
      <c r="B13" s="43" t="str">
        <f t="shared" si="6"/>
        <v>NV22</v>
      </c>
      <c r="C13" s="43" t="str">
        <f t="shared" si="7"/>
        <v>SEG/SEX</v>
      </c>
      <c r="D13" s="44" t="str">
        <f t="shared" si="8"/>
        <v>22H00</v>
      </c>
      <c r="E13" s="43" t="str">
        <f t="shared" si="9"/>
        <v>NOVELA</v>
      </c>
      <c r="F13" s="45" t="str">
        <f t="shared" si="10"/>
        <v>NOVELA 22H</v>
      </c>
      <c r="G13" s="46">
        <f>preços4[[#This Row],[30"]]*preços4[[#This Row],[COEF]]</f>
        <v>14351.35</v>
      </c>
      <c r="H13" s="46">
        <f t="shared" si="11"/>
        <v>22079</v>
      </c>
      <c r="I13" s="46">
        <f>preços4[[#This Row],[30"]]*1.5</f>
        <v>33118.5</v>
      </c>
      <c r="J13" s="46">
        <f>preços4[[#This Row],[30"]]*2</f>
        <v>44158</v>
      </c>
      <c r="K13" s="46">
        <f>preços4[[#This Row],[60"]]*2</f>
        <v>88316</v>
      </c>
      <c r="L13" s="47">
        <f t="shared" si="12"/>
        <v>0.65</v>
      </c>
      <c r="N13" s="54">
        <v>11</v>
      </c>
      <c r="O13" s="55" t="s">
        <v>45</v>
      </c>
      <c r="P13" s="62" t="s">
        <v>83</v>
      </c>
      <c r="Q13" s="56" t="s">
        <v>162</v>
      </c>
      <c r="R13" s="56" t="s">
        <v>66</v>
      </c>
      <c r="S13" s="56" t="s">
        <v>86</v>
      </c>
      <c r="T13" s="56" t="s">
        <v>87</v>
      </c>
      <c r="U13" s="57">
        <v>22079</v>
      </c>
      <c r="V13" s="58">
        <v>0.65</v>
      </c>
      <c r="W13" s="37"/>
      <c r="Y13" s="59" t="s">
        <v>73</v>
      </c>
      <c r="Z13" s="59" t="s">
        <v>45</v>
      </c>
      <c r="AA13" s="59" t="s">
        <v>69</v>
      </c>
      <c r="AB13" s="59" t="s">
        <v>48</v>
      </c>
      <c r="AC13" s="59" t="s">
        <v>75</v>
      </c>
      <c r="AD13" s="61">
        <f>AD9*3</f>
        <v>53550</v>
      </c>
      <c r="AE13" s="61">
        <v>180</v>
      </c>
    </row>
    <row r="14" spans="1:31" ht="11.25" customHeight="1" x14ac:dyDescent="0.2">
      <c r="A14" s="37">
        <v>12</v>
      </c>
      <c r="B14" s="43" t="str">
        <f t="shared" si="6"/>
        <v>FZEN</v>
      </c>
      <c r="C14" s="43" t="str">
        <f t="shared" si="7"/>
        <v>SEG A DOM</v>
      </c>
      <c r="D14" s="44" t="str">
        <f t="shared" si="8"/>
        <v>22H30</v>
      </c>
      <c r="E14" s="43" t="str">
        <f t="shared" si="9"/>
        <v>REALITY SHOW</v>
      </c>
      <c r="F14" s="45" t="str">
        <f t="shared" si="10"/>
        <v>A FAZENDA</v>
      </c>
      <c r="G14" s="46">
        <f>preços4[[#This Row],[30"]]*preços4[[#This Row],[COEF]]</f>
        <v>8916.0500000000011</v>
      </c>
      <c r="H14" s="46">
        <f t="shared" si="11"/>
        <v>13717</v>
      </c>
      <c r="I14" s="46">
        <f>preços4[[#This Row],[30"]]*1.5</f>
        <v>20575.5</v>
      </c>
      <c r="J14" s="46">
        <f>preços4[[#This Row],[30"]]*2</f>
        <v>27434</v>
      </c>
      <c r="K14" s="46">
        <f>preços4[[#This Row],[60"]]*2</f>
        <v>54868</v>
      </c>
      <c r="L14" s="47">
        <f t="shared" si="12"/>
        <v>0.65</v>
      </c>
      <c r="N14" s="54">
        <v>12</v>
      </c>
      <c r="O14" s="55" t="s">
        <v>163</v>
      </c>
      <c r="P14" s="62" t="s">
        <v>162</v>
      </c>
      <c r="Q14" s="56" t="s">
        <v>164</v>
      </c>
      <c r="R14" s="56" t="s">
        <v>92</v>
      </c>
      <c r="S14" s="56" t="s">
        <v>165</v>
      </c>
      <c r="T14" s="56" t="s">
        <v>166</v>
      </c>
      <c r="U14" s="57">
        <v>13717</v>
      </c>
      <c r="V14" s="58">
        <v>0.65</v>
      </c>
      <c r="W14" s="37"/>
      <c r="Y14" s="59" t="s">
        <v>49</v>
      </c>
      <c r="Z14" s="59" t="s">
        <v>45</v>
      </c>
      <c r="AA14" s="59" t="s">
        <v>46</v>
      </c>
      <c r="AB14" s="59" t="s">
        <v>48</v>
      </c>
      <c r="AC14" s="59" t="s">
        <v>89</v>
      </c>
      <c r="AD14" s="60">
        <v>5916</v>
      </c>
      <c r="AE14" s="61">
        <v>60</v>
      </c>
    </row>
    <row r="15" spans="1:31" ht="11.25" customHeight="1" x14ac:dyDescent="0.2">
      <c r="A15" s="37">
        <v>13</v>
      </c>
      <c r="B15" s="43" t="str">
        <f t="shared" si="6"/>
        <v>QUIL</v>
      </c>
      <c r="C15" s="43" t="str">
        <f t="shared" si="7"/>
        <v>SEX</v>
      </c>
      <c r="D15" s="44" t="str">
        <f t="shared" si="8"/>
        <v>23H00</v>
      </c>
      <c r="E15" s="43" t="str">
        <f t="shared" si="9"/>
        <v>REALITY SHOW</v>
      </c>
      <c r="F15" s="45" t="str">
        <f t="shared" si="10"/>
        <v>QUILOS MORTAIS</v>
      </c>
      <c r="G15" s="46">
        <f>preços4[[#This Row],[30"]]*preços4[[#This Row],[COEF]]</f>
        <v>7318.35</v>
      </c>
      <c r="H15" s="46">
        <f t="shared" si="11"/>
        <v>11259</v>
      </c>
      <c r="I15" s="46">
        <f>preços4[[#This Row],[30"]]*1.5</f>
        <v>16888.5</v>
      </c>
      <c r="J15" s="46">
        <f>preços4[[#This Row],[30"]]*2</f>
        <v>22518</v>
      </c>
      <c r="K15" s="46">
        <f>preços4[[#This Row],[60"]]*2</f>
        <v>45036</v>
      </c>
      <c r="L15" s="47">
        <f t="shared" si="12"/>
        <v>0.65</v>
      </c>
      <c r="N15" s="54">
        <v>13</v>
      </c>
      <c r="O15" s="55" t="s">
        <v>93</v>
      </c>
      <c r="P15" s="62" t="s">
        <v>126</v>
      </c>
      <c r="Q15" s="56" t="s">
        <v>90</v>
      </c>
      <c r="R15" s="56" t="s">
        <v>92</v>
      </c>
      <c r="S15" s="56" t="s">
        <v>94</v>
      </c>
      <c r="T15" s="56" t="s">
        <v>95</v>
      </c>
      <c r="U15" s="57">
        <v>11259</v>
      </c>
      <c r="V15" s="58">
        <v>0.65</v>
      </c>
      <c r="W15" s="37"/>
      <c r="Y15" s="59" t="s">
        <v>49</v>
      </c>
      <c r="Z15" s="59" t="s">
        <v>45</v>
      </c>
      <c r="AA15" s="59" t="s">
        <v>46</v>
      </c>
      <c r="AB15" s="59" t="s">
        <v>48</v>
      </c>
      <c r="AC15" s="59" t="s">
        <v>89</v>
      </c>
      <c r="AD15" s="61">
        <f>AD14*1.5</f>
        <v>8874</v>
      </c>
      <c r="AE15" s="61">
        <v>90</v>
      </c>
    </row>
    <row r="16" spans="1:31" ht="11.25" customHeight="1" x14ac:dyDescent="0.2">
      <c r="A16" s="37">
        <v>14</v>
      </c>
      <c r="B16" s="43" t="str">
        <f t="shared" si="6"/>
        <v>SPRE</v>
      </c>
      <c r="C16" s="43" t="str">
        <f t="shared" si="7"/>
        <v>SEG/QUA</v>
      </c>
      <c r="D16" s="44" t="str">
        <f t="shared" si="8"/>
        <v>23H45</v>
      </c>
      <c r="E16" s="43" t="str">
        <f t="shared" si="9"/>
        <v>SÉRIE</v>
      </c>
      <c r="F16" s="45" t="str">
        <f t="shared" si="10"/>
        <v>SÉRIE PREMIUM</v>
      </c>
      <c r="G16" s="46">
        <f>preços4[[#This Row],[30"]]*preços4[[#This Row],[COEF]]</f>
        <v>4483.7</v>
      </c>
      <c r="H16" s="46">
        <f t="shared" si="11"/>
        <v>6898</v>
      </c>
      <c r="I16" s="46">
        <f>preços4[[#This Row],[30"]]*1.5</f>
        <v>10347</v>
      </c>
      <c r="J16" s="46">
        <f>preços4[[#This Row],[30"]]*2</f>
        <v>13796</v>
      </c>
      <c r="K16" s="46">
        <f>preços4[[#This Row],[60"]]*2</f>
        <v>27592</v>
      </c>
      <c r="L16" s="47">
        <f t="shared" si="12"/>
        <v>0.65</v>
      </c>
      <c r="N16" s="54">
        <v>14</v>
      </c>
      <c r="O16" s="55" t="s">
        <v>96</v>
      </c>
      <c r="P16" s="62" t="s">
        <v>88</v>
      </c>
      <c r="Q16" s="56" t="s">
        <v>90</v>
      </c>
      <c r="R16" s="56" t="s">
        <v>97</v>
      </c>
      <c r="S16" s="56" t="s">
        <v>98</v>
      </c>
      <c r="T16" s="56" t="s">
        <v>99</v>
      </c>
      <c r="U16" s="57">
        <v>6898</v>
      </c>
      <c r="V16" s="58">
        <v>0.65</v>
      </c>
      <c r="W16" s="37"/>
      <c r="Y16" s="59" t="s">
        <v>49</v>
      </c>
      <c r="Z16" s="59" t="s">
        <v>45</v>
      </c>
      <c r="AA16" s="59" t="s">
        <v>46</v>
      </c>
      <c r="AB16" s="59" t="s">
        <v>48</v>
      </c>
      <c r="AC16" s="59" t="s">
        <v>89</v>
      </c>
      <c r="AD16" s="61">
        <f>AD14*2</f>
        <v>11832</v>
      </c>
      <c r="AE16" s="61">
        <v>120</v>
      </c>
    </row>
    <row r="17" spans="1:31" ht="11.25" customHeight="1" x14ac:dyDescent="0.2">
      <c r="A17" s="37">
        <v>15</v>
      </c>
      <c r="B17" s="43" t="str">
        <f t="shared" si="6"/>
        <v/>
      </c>
      <c r="C17" s="43" t="str">
        <f t="shared" si="7"/>
        <v/>
      </c>
      <c r="D17" s="44" t="str">
        <f t="shared" si="8"/>
        <v/>
      </c>
      <c r="E17" s="43" t="str">
        <f t="shared" si="9"/>
        <v/>
      </c>
      <c r="F17" s="45" t="str">
        <f t="shared" si="10"/>
        <v/>
      </c>
      <c r="G17" s="46" t="e">
        <f>preços4[[#This Row],[30"]]*preços4[[#This Row],[COEF]]</f>
        <v>#VALUE!</v>
      </c>
      <c r="H17" s="46" t="str">
        <f t="shared" si="11"/>
        <v/>
      </c>
      <c r="I17" s="46" t="e">
        <f>preços4[[#This Row],[30"]]*1.5</f>
        <v>#VALUE!</v>
      </c>
      <c r="J17" s="46" t="e">
        <f>preços4[[#This Row],[30"]]*2</f>
        <v>#VALUE!</v>
      </c>
      <c r="K17" s="46" t="e">
        <f>preços4[[#This Row],[60"]]*2</f>
        <v>#VALUE!</v>
      </c>
      <c r="L17" s="47" t="str">
        <f t="shared" si="12"/>
        <v/>
      </c>
      <c r="N17" s="54"/>
      <c r="O17" s="55"/>
      <c r="P17" s="62"/>
      <c r="Q17" s="56"/>
      <c r="R17" s="56"/>
      <c r="S17" s="56"/>
      <c r="T17" s="56"/>
      <c r="U17" s="57"/>
      <c r="V17" s="58"/>
      <c r="W17" s="37"/>
      <c r="Y17" s="59" t="s">
        <v>49</v>
      </c>
      <c r="Z17" s="59" t="s">
        <v>45</v>
      </c>
      <c r="AA17" s="59" t="s">
        <v>46</v>
      </c>
      <c r="AB17" s="59" t="s">
        <v>48</v>
      </c>
      <c r="AC17" s="59" t="s">
        <v>89</v>
      </c>
      <c r="AD17" s="61">
        <f>AD14*2.5</f>
        <v>14790</v>
      </c>
      <c r="AE17" s="61">
        <v>150</v>
      </c>
    </row>
    <row r="18" spans="1:31" ht="11.25" customHeight="1" x14ac:dyDescent="0.2">
      <c r="A18" s="37">
        <v>16</v>
      </c>
      <c r="B18" s="43" t="str">
        <f t="shared" si="6"/>
        <v>BRAS</v>
      </c>
      <c r="C18" s="43" t="str">
        <f t="shared" si="7"/>
        <v>SÁB</v>
      </c>
      <c r="D18" s="44" t="str">
        <f t="shared" si="8"/>
        <v>07H00</v>
      </c>
      <c r="E18" s="43" t="str">
        <f t="shared" si="9"/>
        <v>REPORTAGEM</v>
      </c>
      <c r="F18" s="45" t="str">
        <f t="shared" si="10"/>
        <v xml:space="preserve">BRASIL CAMINHONEIRO </v>
      </c>
      <c r="G18" s="46">
        <f>preços4[[#This Row],[30"]]*preços4[[#This Row],[COEF]]</f>
        <v>1331.5</v>
      </c>
      <c r="H18" s="46">
        <f t="shared" si="11"/>
        <v>2663</v>
      </c>
      <c r="I18" s="46">
        <f>preços4[[#This Row],[30"]]*1.5</f>
        <v>3994.5</v>
      </c>
      <c r="J18" s="46">
        <f>preços4[[#This Row],[30"]]*2</f>
        <v>5326</v>
      </c>
      <c r="K18" s="46">
        <f>preços4[[#This Row],[60"]]*2</f>
        <v>10652</v>
      </c>
      <c r="L18" s="47">
        <f t="shared" si="12"/>
        <v>0.5</v>
      </c>
      <c r="N18" s="54">
        <v>15</v>
      </c>
      <c r="O18" s="55" t="s">
        <v>101</v>
      </c>
      <c r="P18" s="62" t="s">
        <v>102</v>
      </c>
      <c r="Q18" s="56" t="s">
        <v>103</v>
      </c>
      <c r="R18" s="56" t="s">
        <v>63</v>
      </c>
      <c r="S18" s="56" t="s">
        <v>104</v>
      </c>
      <c r="T18" s="56" t="s">
        <v>105</v>
      </c>
      <c r="U18" s="57">
        <v>2663</v>
      </c>
      <c r="V18" s="58">
        <v>0.5</v>
      </c>
      <c r="W18" s="37"/>
      <c r="Y18" s="59" t="s">
        <v>49</v>
      </c>
      <c r="Z18" s="59" t="s">
        <v>45</v>
      </c>
      <c r="AA18" s="59" t="s">
        <v>46</v>
      </c>
      <c r="AB18" s="59" t="s">
        <v>48</v>
      </c>
      <c r="AC18" s="59" t="s">
        <v>89</v>
      </c>
      <c r="AD18" s="61">
        <f>AD14*3</f>
        <v>17748</v>
      </c>
      <c r="AE18" s="61">
        <v>180</v>
      </c>
    </row>
    <row r="19" spans="1:31" ht="11.25" customHeight="1" x14ac:dyDescent="0.2">
      <c r="A19" s="37">
        <v>17</v>
      </c>
      <c r="B19" s="43" t="str">
        <f t="shared" si="6"/>
        <v>FBES</v>
      </c>
      <c r="C19" s="43" t="str">
        <f t="shared" si="7"/>
        <v>SÁB</v>
      </c>
      <c r="D19" s="44" t="str">
        <f t="shared" si="8"/>
        <v>07H35</v>
      </c>
      <c r="E19" s="43" t="str">
        <f t="shared" si="9"/>
        <v>JORNALISMO</v>
      </c>
      <c r="F19" s="45" t="str">
        <f t="shared" si="10"/>
        <v>FALA BRASIL - Ed. de Sábado</v>
      </c>
      <c r="G19" s="46">
        <f>preços4[[#This Row],[30"]]*preços4[[#This Row],[COEF]]</f>
        <v>1641</v>
      </c>
      <c r="H19" s="46">
        <f t="shared" si="11"/>
        <v>3282</v>
      </c>
      <c r="I19" s="46">
        <f>preços4[[#This Row],[30"]]*1.5</f>
        <v>4923</v>
      </c>
      <c r="J19" s="46">
        <f>preços4[[#This Row],[30"]]*2</f>
        <v>6564</v>
      </c>
      <c r="K19" s="46">
        <f>preços4[[#This Row],[60"]]*2</f>
        <v>13128</v>
      </c>
      <c r="L19" s="47">
        <f t="shared" si="12"/>
        <v>0.5</v>
      </c>
      <c r="N19" s="54">
        <v>16</v>
      </c>
      <c r="O19" s="55" t="s">
        <v>101</v>
      </c>
      <c r="P19" s="62" t="s">
        <v>103</v>
      </c>
      <c r="Q19" s="56" t="s">
        <v>106</v>
      </c>
      <c r="R19" s="56" t="s">
        <v>48</v>
      </c>
      <c r="S19" s="56" t="s">
        <v>107</v>
      </c>
      <c r="T19" s="56" t="s">
        <v>108</v>
      </c>
      <c r="U19" s="57">
        <v>3282</v>
      </c>
      <c r="V19" s="58">
        <v>0.5</v>
      </c>
      <c r="W19" s="37"/>
      <c r="Y19" s="59" t="s">
        <v>77</v>
      </c>
      <c r="Z19" s="59" t="s">
        <v>45</v>
      </c>
      <c r="AA19" s="59" t="s">
        <v>72</v>
      </c>
      <c r="AB19" s="59" t="s">
        <v>48</v>
      </c>
      <c r="AC19" s="59" t="s">
        <v>100</v>
      </c>
      <c r="AD19" s="60">
        <v>20791.68</v>
      </c>
      <c r="AE19" s="61">
        <v>60</v>
      </c>
    </row>
    <row r="20" spans="1:31" ht="11.25" customHeight="1" x14ac:dyDescent="0.2">
      <c r="A20" s="37"/>
      <c r="B20" s="43" t="str">
        <f t="shared" si="6"/>
        <v>BAGS</v>
      </c>
      <c r="C20" s="43" t="str">
        <f t="shared" si="7"/>
        <v>SAB</v>
      </c>
      <c r="D20" s="44" t="str">
        <f t="shared" si="8"/>
        <v>13H00</v>
      </c>
      <c r="E20" s="43" t="str">
        <f t="shared" si="9"/>
        <v>REPORTAGEM</v>
      </c>
      <c r="F20" s="45" t="str">
        <f t="shared" si="10"/>
        <v xml:space="preserve">BALANÇO GERAL - Ed. de Sábado </v>
      </c>
      <c r="G20" s="46">
        <f>preços4[[#This Row],[30"]]*preços4[[#This Row],[COEF]]</f>
        <v>5373.55</v>
      </c>
      <c r="H20" s="46">
        <f t="shared" si="11"/>
        <v>8267</v>
      </c>
      <c r="I20" s="46">
        <f>preços4[[#This Row],[30"]]*1.5</f>
        <v>12400.5</v>
      </c>
      <c r="J20" s="46">
        <f>preços4[[#This Row],[30"]]*2</f>
        <v>16534</v>
      </c>
      <c r="K20" s="46">
        <f>preços4[[#This Row],[60"]]*2</f>
        <v>33068</v>
      </c>
      <c r="L20" s="47">
        <f t="shared" si="12"/>
        <v>0.65</v>
      </c>
      <c r="N20" s="48">
        <v>17</v>
      </c>
      <c r="O20" s="49" t="s">
        <v>109</v>
      </c>
      <c r="P20" s="50" t="s">
        <v>110</v>
      </c>
      <c r="Q20" s="50" t="s">
        <v>111</v>
      </c>
      <c r="R20" s="50" t="s">
        <v>63</v>
      </c>
      <c r="S20" s="50" t="s">
        <v>112</v>
      </c>
      <c r="T20" s="50" t="s">
        <v>167</v>
      </c>
      <c r="U20" s="51">
        <v>8267</v>
      </c>
      <c r="V20" s="52">
        <v>0.65</v>
      </c>
      <c r="W20" s="37"/>
      <c r="Y20" s="59" t="s">
        <v>77</v>
      </c>
      <c r="Z20" s="59" t="s">
        <v>45</v>
      </c>
      <c r="AA20" s="59" t="s">
        <v>72</v>
      </c>
      <c r="AB20" s="59" t="s">
        <v>48</v>
      </c>
      <c r="AC20" s="59" t="s">
        <v>100</v>
      </c>
      <c r="AD20" s="61">
        <f>AD19*1.5</f>
        <v>31187.52</v>
      </c>
      <c r="AE20" s="61">
        <v>90</v>
      </c>
    </row>
    <row r="21" spans="1:31" ht="11.25" customHeight="1" x14ac:dyDescent="0.2">
      <c r="A21" s="37">
        <v>18</v>
      </c>
      <c r="B21" s="43" t="str">
        <f t="shared" si="6"/>
        <v>CIAV</v>
      </c>
      <c r="C21" s="43" t="str">
        <f t="shared" si="7"/>
        <v>SÁB</v>
      </c>
      <c r="D21" s="44" t="str">
        <f t="shared" si="8"/>
        <v>15H00</v>
      </c>
      <c r="E21" s="43" t="str">
        <f t="shared" si="9"/>
        <v>FILME</v>
      </c>
      <c r="F21" s="45" t="str">
        <f t="shared" si="10"/>
        <v>CINE AVENTURA</v>
      </c>
      <c r="G21" s="46">
        <f>preços4[[#This Row],[30"]]*preços4[[#This Row],[COEF]]</f>
        <v>2625.35</v>
      </c>
      <c r="H21" s="46">
        <f t="shared" si="11"/>
        <v>4039</v>
      </c>
      <c r="I21" s="46">
        <f>preços4[[#This Row],[30"]]*1.5</f>
        <v>6058.5</v>
      </c>
      <c r="J21" s="46">
        <f>preços4[[#This Row],[30"]]*2</f>
        <v>8078</v>
      </c>
      <c r="K21" s="46">
        <f>preços4[[#This Row],[60"]]*2</f>
        <v>16156</v>
      </c>
      <c r="L21" s="47">
        <f t="shared" si="12"/>
        <v>0.65</v>
      </c>
      <c r="M21" s="37"/>
      <c r="N21" s="54">
        <v>18</v>
      </c>
      <c r="O21" s="55" t="s">
        <v>101</v>
      </c>
      <c r="P21" s="62" t="s">
        <v>111</v>
      </c>
      <c r="Q21" s="56" t="s">
        <v>113</v>
      </c>
      <c r="R21" s="56" t="s">
        <v>91</v>
      </c>
      <c r="S21" s="56" t="s">
        <v>114</v>
      </c>
      <c r="T21" s="56" t="s">
        <v>115</v>
      </c>
      <c r="U21" s="57">
        <v>4039</v>
      </c>
      <c r="V21" s="58">
        <v>0.65</v>
      </c>
      <c r="W21" s="37"/>
      <c r="Y21" s="59" t="s">
        <v>77</v>
      </c>
      <c r="Z21" s="59" t="s">
        <v>45</v>
      </c>
      <c r="AA21" s="59" t="s">
        <v>72</v>
      </c>
      <c r="AB21" s="59" t="s">
        <v>48</v>
      </c>
      <c r="AC21" s="59" t="s">
        <v>100</v>
      </c>
      <c r="AD21" s="61">
        <f>AD19*2</f>
        <v>41583.360000000001</v>
      </c>
      <c r="AE21" s="61">
        <v>120</v>
      </c>
    </row>
    <row r="22" spans="1:31" ht="11.25" customHeight="1" x14ac:dyDescent="0.2">
      <c r="A22" s="37">
        <v>19</v>
      </c>
      <c r="B22" s="43" t="str">
        <f t="shared" si="6"/>
        <v>CAES</v>
      </c>
      <c r="C22" s="43" t="str">
        <f t="shared" si="7"/>
        <v>SÁB</v>
      </c>
      <c r="D22" s="44" t="str">
        <f t="shared" si="8"/>
        <v>17H00</v>
      </c>
      <c r="E22" s="43" t="str">
        <f t="shared" si="9"/>
        <v>JORNALISMO</v>
      </c>
      <c r="F22" s="45" t="str">
        <f t="shared" si="10"/>
        <v>CIDADE ALERTA - Ed. de Sábado</v>
      </c>
      <c r="G22" s="46">
        <f>preços4[[#This Row],[30"]]*preços4[[#This Row],[COEF]]</f>
        <v>2444</v>
      </c>
      <c r="H22" s="46">
        <f t="shared" si="11"/>
        <v>3760</v>
      </c>
      <c r="I22" s="46">
        <f>preços4[[#This Row],[30"]]*1.5</f>
        <v>5640</v>
      </c>
      <c r="J22" s="46">
        <f>preços4[[#This Row],[30"]]*2</f>
        <v>7520</v>
      </c>
      <c r="K22" s="46">
        <f>preços4[[#This Row],[60"]]*2</f>
        <v>15040</v>
      </c>
      <c r="L22" s="47">
        <f t="shared" si="12"/>
        <v>0.65</v>
      </c>
      <c r="M22" s="37"/>
      <c r="N22" s="54">
        <v>19</v>
      </c>
      <c r="O22" s="55" t="s">
        <v>101</v>
      </c>
      <c r="P22" s="62" t="s">
        <v>113</v>
      </c>
      <c r="Q22" s="56" t="s">
        <v>121</v>
      </c>
      <c r="R22" s="56" t="s">
        <v>48</v>
      </c>
      <c r="S22" s="56" t="s">
        <v>122</v>
      </c>
      <c r="T22" s="56" t="s">
        <v>123</v>
      </c>
      <c r="U22" s="57">
        <v>3760</v>
      </c>
      <c r="V22" s="58">
        <v>0.65</v>
      </c>
      <c r="W22" s="37"/>
      <c r="Y22" s="59" t="s">
        <v>77</v>
      </c>
      <c r="Z22" s="59" t="s">
        <v>45</v>
      </c>
      <c r="AA22" s="59" t="s">
        <v>72</v>
      </c>
      <c r="AB22" s="59" t="s">
        <v>48</v>
      </c>
      <c r="AC22" s="59" t="s">
        <v>100</v>
      </c>
      <c r="AD22" s="61">
        <f>AD19*2.5</f>
        <v>51979.199999999997</v>
      </c>
      <c r="AE22" s="61">
        <v>150</v>
      </c>
    </row>
    <row r="23" spans="1:31" x14ac:dyDescent="0.2">
      <c r="A23" s="37">
        <v>20</v>
      </c>
      <c r="B23" s="43" t="str">
        <f t="shared" si="6"/>
        <v>JRES</v>
      </c>
      <c r="C23" s="43" t="str">
        <f t="shared" si="7"/>
        <v>SÁB</v>
      </c>
      <c r="D23" s="44" t="str">
        <f t="shared" si="8"/>
        <v>19H45</v>
      </c>
      <c r="E23" s="43" t="str">
        <f t="shared" si="9"/>
        <v>JORNALISMO</v>
      </c>
      <c r="F23" s="45" t="str">
        <f t="shared" si="10"/>
        <v>JORNAL DA RECORD - Ed. de Sábado</v>
      </c>
      <c r="G23" s="46">
        <f>preços4[[#This Row],[30"]]*preços4[[#This Row],[COEF]]</f>
        <v>12842.050000000001</v>
      </c>
      <c r="H23" s="46">
        <f t="shared" si="11"/>
        <v>19757</v>
      </c>
      <c r="I23" s="46">
        <f>preços4[[#This Row],[30"]]*1.5</f>
        <v>29635.5</v>
      </c>
      <c r="J23" s="46">
        <f>preços4[[#This Row],[30"]]*2</f>
        <v>39514</v>
      </c>
      <c r="K23" s="46">
        <f>preços4[[#This Row],[60"]]*2</f>
        <v>79028</v>
      </c>
      <c r="L23" s="47">
        <f t="shared" si="12"/>
        <v>0.65</v>
      </c>
      <c r="M23" s="37"/>
      <c r="N23" s="54">
        <v>20</v>
      </c>
      <c r="O23" s="55" t="s">
        <v>101</v>
      </c>
      <c r="P23" s="62" t="s">
        <v>121</v>
      </c>
      <c r="Q23" s="56" t="s">
        <v>80</v>
      </c>
      <c r="R23" s="56" t="s">
        <v>48</v>
      </c>
      <c r="S23" s="56" t="s">
        <v>124</v>
      </c>
      <c r="T23" s="56" t="s">
        <v>125</v>
      </c>
      <c r="U23" s="57">
        <v>19757</v>
      </c>
      <c r="V23" s="58">
        <v>0.65</v>
      </c>
      <c r="W23" s="37"/>
      <c r="Y23" s="59" t="s">
        <v>77</v>
      </c>
      <c r="Z23" s="59" t="s">
        <v>45</v>
      </c>
      <c r="AA23" s="59" t="s">
        <v>72</v>
      </c>
      <c r="AB23" s="59" t="s">
        <v>48</v>
      </c>
      <c r="AC23" s="59" t="s">
        <v>100</v>
      </c>
      <c r="AD23" s="61">
        <f>AD19*3</f>
        <v>62375.040000000001</v>
      </c>
      <c r="AE23" s="61">
        <v>180</v>
      </c>
    </row>
    <row r="24" spans="1:31" x14ac:dyDescent="0.2">
      <c r="A24" s="37">
        <v>21</v>
      </c>
      <c r="B24" s="43" t="str">
        <f t="shared" si="6"/>
        <v>CAE2</v>
      </c>
      <c r="C24" s="43" t="str">
        <f t="shared" si="7"/>
        <v>SÁB</v>
      </c>
      <c r="D24" s="44" t="str">
        <f t="shared" si="8"/>
        <v>21H00</v>
      </c>
      <c r="E24" s="43" t="str">
        <f t="shared" si="9"/>
        <v>JORNALISMO</v>
      </c>
      <c r="F24" s="45" t="str">
        <f t="shared" si="10"/>
        <v xml:space="preserve">CIDADE ALERTA 2 - Ed. de Sábado </v>
      </c>
      <c r="G24" s="46">
        <f>preços4[[#This Row],[30"]]*preços4[[#This Row],[COEF]]</f>
        <v>2444</v>
      </c>
      <c r="H24" s="46">
        <f t="shared" si="11"/>
        <v>3760</v>
      </c>
      <c r="I24" s="46">
        <f>preços4[[#This Row],[30"]]*1.5</f>
        <v>5640</v>
      </c>
      <c r="J24" s="46">
        <f>preços4[[#This Row],[30"]]*2</f>
        <v>7520</v>
      </c>
      <c r="K24" s="46">
        <f>preços4[[#This Row],[60"]]*2</f>
        <v>15040</v>
      </c>
      <c r="L24" s="47">
        <f t="shared" si="12"/>
        <v>0.65</v>
      </c>
      <c r="M24" s="37"/>
      <c r="N24" s="54">
        <v>21</v>
      </c>
      <c r="O24" s="55" t="s">
        <v>101</v>
      </c>
      <c r="P24" s="62" t="s">
        <v>80</v>
      </c>
      <c r="Q24" s="56" t="s">
        <v>162</v>
      </c>
      <c r="R24" s="56" t="s">
        <v>48</v>
      </c>
      <c r="S24" s="56" t="s">
        <v>168</v>
      </c>
      <c r="T24" s="56" t="s">
        <v>169</v>
      </c>
      <c r="U24" s="57">
        <v>3760</v>
      </c>
      <c r="V24" s="58">
        <v>0.65</v>
      </c>
      <c r="W24" s="37"/>
      <c r="Y24" s="59" t="s">
        <v>116</v>
      </c>
      <c r="Z24" s="59" t="s">
        <v>117</v>
      </c>
      <c r="AA24" s="59" t="s">
        <v>118</v>
      </c>
      <c r="AB24" s="59" t="s">
        <v>119</v>
      </c>
      <c r="AC24" s="59" t="s">
        <v>120</v>
      </c>
      <c r="AD24" s="60">
        <v>8874</v>
      </c>
      <c r="AE24" s="61">
        <v>60</v>
      </c>
    </row>
    <row r="25" spans="1:31" x14ac:dyDescent="0.2">
      <c r="A25" s="37">
        <v>22</v>
      </c>
      <c r="B25" s="43" t="str">
        <f t="shared" si="6"/>
        <v>STSA</v>
      </c>
      <c r="C25" s="43" t="str">
        <f t="shared" si="7"/>
        <v>SÁB</v>
      </c>
      <c r="D25" s="44" t="str">
        <f t="shared" si="8"/>
        <v>23H15</v>
      </c>
      <c r="E25" s="43" t="str">
        <f t="shared" si="9"/>
        <v>FILME</v>
      </c>
      <c r="F25" s="45" t="str">
        <f t="shared" si="10"/>
        <v>SUPER TELA</v>
      </c>
      <c r="G25" s="46">
        <f>preços4[[#This Row],[30"]]*preços4[[#This Row],[COEF]]</f>
        <v>7318.35</v>
      </c>
      <c r="H25" s="46">
        <f t="shared" si="11"/>
        <v>11259</v>
      </c>
      <c r="I25" s="46">
        <f>preços4[[#This Row],[30"]]*1.5</f>
        <v>16888.5</v>
      </c>
      <c r="J25" s="46">
        <f>preços4[[#This Row],[30"]]*2</f>
        <v>22518</v>
      </c>
      <c r="K25" s="46">
        <f>preços4[[#This Row],[60"]]*2</f>
        <v>45036</v>
      </c>
      <c r="L25" s="47">
        <f t="shared" si="12"/>
        <v>0.65</v>
      </c>
      <c r="M25" s="37"/>
      <c r="N25" s="54">
        <v>22</v>
      </c>
      <c r="O25" s="55" t="s">
        <v>101</v>
      </c>
      <c r="P25" s="62" t="s">
        <v>170</v>
      </c>
      <c r="Q25" s="56" t="s">
        <v>127</v>
      </c>
      <c r="R25" s="56" t="s">
        <v>91</v>
      </c>
      <c r="S25" s="56" t="s">
        <v>128</v>
      </c>
      <c r="T25" s="56" t="s">
        <v>129</v>
      </c>
      <c r="U25" s="57">
        <v>11259</v>
      </c>
      <c r="V25" s="58">
        <v>0.65</v>
      </c>
      <c r="W25" s="37"/>
      <c r="Y25" s="59" t="s">
        <v>116</v>
      </c>
      <c r="Z25" s="59" t="s">
        <v>117</v>
      </c>
      <c r="AA25" s="59" t="s">
        <v>118</v>
      </c>
      <c r="AB25" s="59" t="s">
        <v>119</v>
      </c>
      <c r="AC25" s="59" t="s">
        <v>120</v>
      </c>
      <c r="AD25" s="61">
        <f>AD24*1.5</f>
        <v>13311</v>
      </c>
      <c r="AE25" s="61">
        <v>90</v>
      </c>
    </row>
    <row r="26" spans="1:31" x14ac:dyDescent="0.2">
      <c r="A26" s="37">
        <v>23</v>
      </c>
      <c r="B26" s="43" t="str">
        <f t="shared" si="6"/>
        <v/>
      </c>
      <c r="C26" s="43" t="str">
        <f t="shared" si="7"/>
        <v/>
      </c>
      <c r="D26" s="44" t="str">
        <f t="shared" si="8"/>
        <v/>
      </c>
      <c r="E26" s="43" t="str">
        <f t="shared" si="9"/>
        <v/>
      </c>
      <c r="F26" s="45" t="str">
        <f t="shared" si="10"/>
        <v/>
      </c>
      <c r="G26" s="46" t="e">
        <f>preços4[[#This Row],[30"]]*preços4[[#This Row],[COEF]]</f>
        <v>#VALUE!</v>
      </c>
      <c r="H26" s="46" t="str">
        <f t="shared" si="11"/>
        <v/>
      </c>
      <c r="I26" s="46" t="e">
        <f>preços4[[#This Row],[30"]]*1.5</f>
        <v>#VALUE!</v>
      </c>
      <c r="J26" s="46" t="e">
        <f>preços4[[#This Row],[30"]]*2</f>
        <v>#VALUE!</v>
      </c>
      <c r="K26" s="46" t="e">
        <f>preços4[[#This Row],[60"]]*2</f>
        <v>#VALUE!</v>
      </c>
      <c r="L26" s="47" t="str">
        <f t="shared" si="12"/>
        <v/>
      </c>
      <c r="M26" s="37"/>
      <c r="N26" s="54"/>
      <c r="O26" s="55"/>
      <c r="P26" s="62"/>
      <c r="Q26" s="56"/>
      <c r="R26" s="56"/>
      <c r="S26" s="56"/>
      <c r="T26" s="56"/>
      <c r="U26" s="57"/>
      <c r="V26" s="58"/>
      <c r="W26" s="37"/>
      <c r="Y26" s="59" t="s">
        <v>116</v>
      </c>
      <c r="Z26" s="59" t="s">
        <v>117</v>
      </c>
      <c r="AA26" s="59" t="s">
        <v>118</v>
      </c>
      <c r="AB26" s="59" t="s">
        <v>119</v>
      </c>
      <c r="AC26" s="59" t="s">
        <v>120</v>
      </c>
      <c r="AD26" s="61">
        <f>AD24*2</f>
        <v>17748</v>
      </c>
      <c r="AE26" s="61">
        <v>120</v>
      </c>
    </row>
    <row r="27" spans="1:31" x14ac:dyDescent="0.2">
      <c r="A27" s="37">
        <v>24</v>
      </c>
      <c r="B27" s="43" t="str">
        <f t="shared" si="6"/>
        <v>ARGO</v>
      </c>
      <c r="C27" s="43" t="str">
        <f t="shared" si="7"/>
        <v>DOM</v>
      </c>
      <c r="D27" s="44" t="str">
        <f t="shared" si="8"/>
        <v>10H00</v>
      </c>
      <c r="E27" s="43" t="str">
        <f t="shared" si="9"/>
        <v>JORNALISMO</v>
      </c>
      <c r="F27" s="45" t="str">
        <f t="shared" si="10"/>
        <v>AGRO RECORD</v>
      </c>
      <c r="G27" s="46">
        <f>preços4[[#This Row],[30"]]*preços4[[#This Row],[COEF]]</f>
        <v>2512.9</v>
      </c>
      <c r="H27" s="46">
        <f t="shared" si="11"/>
        <v>3866</v>
      </c>
      <c r="I27" s="46">
        <f>preços4[[#This Row],[30"]]*1.5</f>
        <v>5799</v>
      </c>
      <c r="J27" s="46">
        <f>preços4[[#This Row],[30"]]*2</f>
        <v>7732</v>
      </c>
      <c r="K27" s="46">
        <f>preços4[[#This Row],[60"]]*2</f>
        <v>15464</v>
      </c>
      <c r="L27" s="47">
        <f t="shared" si="12"/>
        <v>0.65</v>
      </c>
      <c r="M27" s="37"/>
      <c r="N27" s="48">
        <v>23</v>
      </c>
      <c r="O27" s="49" t="s">
        <v>117</v>
      </c>
      <c r="P27" s="50" t="s">
        <v>118</v>
      </c>
      <c r="Q27" s="50" t="s">
        <v>130</v>
      </c>
      <c r="R27" s="50" t="s">
        <v>48</v>
      </c>
      <c r="S27" s="50" t="s">
        <v>116</v>
      </c>
      <c r="T27" s="50" t="s">
        <v>120</v>
      </c>
      <c r="U27" s="51">
        <v>3866</v>
      </c>
      <c r="V27" s="52">
        <v>0.65</v>
      </c>
      <c r="W27" s="37"/>
      <c r="Y27" s="59" t="s">
        <v>116</v>
      </c>
      <c r="Z27" s="59" t="s">
        <v>117</v>
      </c>
      <c r="AA27" s="59" t="s">
        <v>118</v>
      </c>
      <c r="AB27" s="59" t="s">
        <v>119</v>
      </c>
      <c r="AC27" s="59" t="s">
        <v>120</v>
      </c>
      <c r="AD27" s="61">
        <f>AD24*2.5</f>
        <v>22185</v>
      </c>
      <c r="AE27" s="61">
        <v>150</v>
      </c>
    </row>
    <row r="28" spans="1:31" x14ac:dyDescent="0.2">
      <c r="A28" s="37">
        <v>25</v>
      </c>
      <c r="B28" s="43" t="str">
        <f t="shared" si="6"/>
        <v>RKCR</v>
      </c>
      <c r="C28" s="43" t="str">
        <f t="shared" si="7"/>
        <v>DOM</v>
      </c>
      <c r="D28" s="44" t="str">
        <f t="shared" si="8"/>
        <v>11H00</v>
      </c>
      <c r="E28" s="43" t="str">
        <f t="shared" si="9"/>
        <v>SÉRIE</v>
      </c>
      <c r="F28" s="45" t="str">
        <f t="shared" si="10"/>
        <v>RECORD TEEN 1 (EU, A PATROA E AS CRIANÇAS)</v>
      </c>
      <c r="G28" s="46">
        <f>preços4[[#This Row],[30"]]*preços4[[#This Row],[COEF]]</f>
        <v>5415.8</v>
      </c>
      <c r="H28" s="46">
        <f t="shared" si="11"/>
        <v>8332</v>
      </c>
      <c r="I28" s="46">
        <f>preços4[[#This Row],[30"]]*1.5</f>
        <v>12498</v>
      </c>
      <c r="J28" s="46">
        <f>preços4[[#This Row],[30"]]*2</f>
        <v>16664</v>
      </c>
      <c r="K28" s="46">
        <f>preços4[[#This Row],[60"]]*2</f>
        <v>33328</v>
      </c>
      <c r="L28" s="47">
        <f t="shared" si="12"/>
        <v>0.65</v>
      </c>
      <c r="M28" s="37"/>
      <c r="N28" s="54">
        <v>24</v>
      </c>
      <c r="O28" s="55" t="s">
        <v>117</v>
      </c>
      <c r="P28" s="62" t="s">
        <v>130</v>
      </c>
      <c r="Q28" s="56" t="s">
        <v>131</v>
      </c>
      <c r="R28" s="56" t="s">
        <v>97</v>
      </c>
      <c r="S28" s="56" t="s">
        <v>132</v>
      </c>
      <c r="T28" s="56" t="s">
        <v>133</v>
      </c>
      <c r="U28" s="57">
        <v>8332</v>
      </c>
      <c r="V28" s="58">
        <v>0.65</v>
      </c>
      <c r="W28" s="37"/>
      <c r="Y28" s="59" t="s">
        <v>116</v>
      </c>
      <c r="Z28" s="59" t="s">
        <v>117</v>
      </c>
      <c r="AA28" s="59" t="s">
        <v>118</v>
      </c>
      <c r="AB28" s="59" t="s">
        <v>119</v>
      </c>
      <c r="AC28" s="59" t="s">
        <v>120</v>
      </c>
      <c r="AD28" s="61">
        <f>AD24*3</f>
        <v>26622</v>
      </c>
      <c r="AE28" s="61">
        <v>180</v>
      </c>
    </row>
    <row r="29" spans="1:31" x14ac:dyDescent="0.2">
      <c r="A29" s="37"/>
      <c r="B29" s="43" t="str">
        <f t="shared" si="6"/>
        <v>CMDM</v>
      </c>
      <c r="C29" s="43" t="str">
        <f t="shared" si="7"/>
        <v>DOM</v>
      </c>
      <c r="D29" s="44" t="str">
        <f t="shared" si="8"/>
        <v>14H00</v>
      </c>
      <c r="E29" s="43" t="str">
        <f t="shared" si="9"/>
        <v>FILME</v>
      </c>
      <c r="F29" s="45" t="str">
        <f t="shared" si="10"/>
        <v>CINE MAIOR</v>
      </c>
      <c r="G29" s="46">
        <f>preços4[[#This Row],[30"]]*preços4[[#This Row],[COEF]]</f>
        <v>5415.8</v>
      </c>
      <c r="H29" s="46">
        <f t="shared" si="11"/>
        <v>8332</v>
      </c>
      <c r="I29" s="46">
        <f>preços4[[#This Row],[30"]]*1.5</f>
        <v>12498</v>
      </c>
      <c r="J29" s="46">
        <f>preços4[[#This Row],[30"]]*2</f>
        <v>16664</v>
      </c>
      <c r="K29" s="46">
        <f>preços4[[#This Row],[60"]]*2</f>
        <v>33328</v>
      </c>
      <c r="L29" s="47">
        <f t="shared" si="12"/>
        <v>0.65</v>
      </c>
      <c r="M29" s="37"/>
      <c r="N29" s="54">
        <v>25</v>
      </c>
      <c r="O29" s="55" t="s">
        <v>117</v>
      </c>
      <c r="P29" s="62" t="s">
        <v>171</v>
      </c>
      <c r="Q29" s="56" t="s">
        <v>62</v>
      </c>
      <c r="R29" s="56" t="s">
        <v>91</v>
      </c>
      <c r="S29" s="56" t="s">
        <v>134</v>
      </c>
      <c r="T29" s="56" t="s">
        <v>135</v>
      </c>
      <c r="U29" s="57">
        <v>8332</v>
      </c>
      <c r="V29" s="58">
        <v>0.65</v>
      </c>
      <c r="W29" s="37"/>
      <c r="Y29" s="59" t="s">
        <v>112</v>
      </c>
      <c r="Z29" s="59" t="s">
        <v>101</v>
      </c>
      <c r="AA29" s="59" t="s">
        <v>110</v>
      </c>
      <c r="AB29" s="59" t="s">
        <v>48</v>
      </c>
      <c r="AC29" s="59" t="s">
        <v>160</v>
      </c>
      <c r="AD29" s="60">
        <v>18360</v>
      </c>
      <c r="AE29" s="61">
        <v>60</v>
      </c>
    </row>
    <row r="30" spans="1:31" x14ac:dyDescent="0.2">
      <c r="A30" s="37">
        <v>26</v>
      </c>
      <c r="B30" s="43" t="str">
        <f t="shared" si="6"/>
        <v>STST</v>
      </c>
      <c r="C30" s="43" t="str">
        <f t="shared" si="7"/>
        <v>DOM</v>
      </c>
      <c r="D30" s="44" t="str">
        <f t="shared" si="8"/>
        <v>15H30</v>
      </c>
      <c r="E30" s="43" t="str">
        <f t="shared" si="9"/>
        <v>GAME SHOW</v>
      </c>
      <c r="F30" s="45" t="str">
        <f t="shared" si="10"/>
        <v>ACERTE OU CAIA</v>
      </c>
      <c r="G30" s="46">
        <f>preços4[[#This Row],[30"]]*preços4[[#This Row],[COEF]]</f>
        <v>6728.1500000000005</v>
      </c>
      <c r="H30" s="46">
        <f t="shared" si="11"/>
        <v>10351</v>
      </c>
      <c r="I30" s="46">
        <f>preços4[[#This Row],[30"]]*1.5</f>
        <v>15526.5</v>
      </c>
      <c r="J30" s="46">
        <f>preços4[[#This Row],[30"]]*2</f>
        <v>20702</v>
      </c>
      <c r="K30" s="46">
        <f>preços4[[#This Row],[60"]]*2</f>
        <v>41404</v>
      </c>
      <c r="L30" s="47">
        <f t="shared" si="12"/>
        <v>0.65</v>
      </c>
      <c r="M30" s="37"/>
      <c r="N30" s="54">
        <v>26</v>
      </c>
      <c r="O30" s="55" t="s">
        <v>117</v>
      </c>
      <c r="P30" s="62" t="s">
        <v>62</v>
      </c>
      <c r="Q30" s="56" t="s">
        <v>69</v>
      </c>
      <c r="R30" s="56" t="s">
        <v>136</v>
      </c>
      <c r="S30" s="56" t="s">
        <v>137</v>
      </c>
      <c r="T30" s="56" t="s">
        <v>138</v>
      </c>
      <c r="U30" s="57">
        <v>10351</v>
      </c>
      <c r="V30" s="58">
        <v>0.65</v>
      </c>
      <c r="W30" s="37"/>
      <c r="Y30" s="59" t="s">
        <v>112</v>
      </c>
      <c r="Z30" s="59" t="s">
        <v>101</v>
      </c>
      <c r="AA30" s="59" t="s">
        <v>110</v>
      </c>
      <c r="AB30" s="59" t="s">
        <v>48</v>
      </c>
      <c r="AC30" s="59" t="s">
        <v>160</v>
      </c>
      <c r="AD30" s="61">
        <f>AD29*1.5</f>
        <v>27540</v>
      </c>
      <c r="AE30" s="61">
        <v>90</v>
      </c>
    </row>
    <row r="31" spans="1:31" x14ac:dyDescent="0.2">
      <c r="A31" s="37">
        <v>27</v>
      </c>
      <c r="B31" s="43" t="str">
        <f t="shared" si="6"/>
        <v>LVDC</v>
      </c>
      <c r="C31" s="43" t="str">
        <f t="shared" si="7"/>
        <v>DOM</v>
      </c>
      <c r="D31" s="44" t="str">
        <f t="shared" si="8"/>
        <v>18H00</v>
      </c>
      <c r="E31" s="43" t="str">
        <f t="shared" si="9"/>
        <v>REALITY SHOW</v>
      </c>
      <c r="F31" s="45" t="str">
        <f t="shared" si="10"/>
        <v xml:space="preserve">LOVE &amp; DANCE (Exceto em dias de jogos) </v>
      </c>
      <c r="G31" s="46">
        <f>preços4[[#This Row],[30"]]*preços4[[#This Row],[COEF]]</f>
        <v>6728.1500000000005</v>
      </c>
      <c r="H31" s="46">
        <f t="shared" si="11"/>
        <v>10351</v>
      </c>
      <c r="I31" s="46">
        <f>preços4[[#This Row],[30"]]*1.5</f>
        <v>15526.5</v>
      </c>
      <c r="J31" s="46">
        <f>preços4[[#This Row],[30"]]*2</f>
        <v>20702</v>
      </c>
      <c r="K31" s="46">
        <f>preços4[[#This Row],[60"]]*2</f>
        <v>41404</v>
      </c>
      <c r="L31" s="47">
        <f t="shared" si="12"/>
        <v>0.65</v>
      </c>
      <c r="M31" s="37"/>
      <c r="N31" s="54">
        <v>27</v>
      </c>
      <c r="O31" s="55" t="s">
        <v>117</v>
      </c>
      <c r="P31" s="62" t="s">
        <v>69</v>
      </c>
      <c r="Q31" s="56" t="s">
        <v>121</v>
      </c>
      <c r="R31" s="56" t="s">
        <v>92</v>
      </c>
      <c r="S31" s="56" t="s">
        <v>139</v>
      </c>
      <c r="T31" s="56" t="s">
        <v>140</v>
      </c>
      <c r="U31" s="57">
        <v>10351</v>
      </c>
      <c r="V31" s="58">
        <v>0.65</v>
      </c>
      <c r="W31" s="37"/>
      <c r="Y31" s="59" t="s">
        <v>112</v>
      </c>
      <c r="Z31" s="59" t="s">
        <v>101</v>
      </c>
      <c r="AA31" s="59" t="s">
        <v>110</v>
      </c>
      <c r="AB31" s="59" t="s">
        <v>48</v>
      </c>
      <c r="AC31" s="59" t="s">
        <v>160</v>
      </c>
      <c r="AD31" s="61">
        <f>AD29*2</f>
        <v>36720</v>
      </c>
      <c r="AE31" s="61">
        <v>120</v>
      </c>
    </row>
    <row r="32" spans="1:31" x14ac:dyDescent="0.2">
      <c r="A32" s="37">
        <v>28</v>
      </c>
      <c r="B32" s="43" t="str">
        <f t="shared" si="6"/>
        <v>DOES</v>
      </c>
      <c r="C32" s="43" t="str">
        <f t="shared" si="7"/>
        <v>DOM</v>
      </c>
      <c r="D32" s="44" t="str">
        <f t="shared" si="8"/>
        <v>19H45</v>
      </c>
      <c r="E32" s="43" t="str">
        <f t="shared" si="9"/>
        <v>JORNALISMO</v>
      </c>
      <c r="F32" s="45" t="str">
        <f t="shared" si="10"/>
        <v>DOMINGO ESPETACULAR **</v>
      </c>
      <c r="G32" s="46">
        <f>preços4[[#This Row],[30"]]*preços4[[#This Row],[COEF]]</f>
        <v>14340.95</v>
      </c>
      <c r="H32" s="46">
        <f t="shared" si="11"/>
        <v>22063</v>
      </c>
      <c r="I32" s="46">
        <f>preços4[[#This Row],[30"]]*1.5</f>
        <v>33094.5</v>
      </c>
      <c r="J32" s="46">
        <f>preços4[[#This Row],[30"]]*2</f>
        <v>44126</v>
      </c>
      <c r="K32" s="46">
        <f>preços4[[#This Row],[60"]]*2</f>
        <v>88252</v>
      </c>
      <c r="L32" s="47">
        <f t="shared" si="12"/>
        <v>0.65</v>
      </c>
      <c r="M32" s="37"/>
      <c r="N32" s="54">
        <v>28</v>
      </c>
      <c r="O32" s="55" t="s">
        <v>117</v>
      </c>
      <c r="P32" s="62" t="s">
        <v>121</v>
      </c>
      <c r="Q32" s="56" t="s">
        <v>162</v>
      </c>
      <c r="R32" s="56" t="s">
        <v>48</v>
      </c>
      <c r="S32" s="56" t="s">
        <v>141</v>
      </c>
      <c r="T32" s="56" t="s">
        <v>172</v>
      </c>
      <c r="U32" s="57">
        <v>22063</v>
      </c>
      <c r="V32" s="58">
        <v>0.65</v>
      </c>
      <c r="W32" s="37"/>
      <c r="Y32" s="59" t="s">
        <v>112</v>
      </c>
      <c r="Z32" s="59" t="s">
        <v>101</v>
      </c>
      <c r="AA32" s="59" t="s">
        <v>110</v>
      </c>
      <c r="AB32" s="59" t="s">
        <v>48</v>
      </c>
      <c r="AC32" s="59" t="s">
        <v>160</v>
      </c>
      <c r="AD32" s="61">
        <f>AD29*2.5</f>
        <v>45900</v>
      </c>
      <c r="AE32" s="61">
        <v>150</v>
      </c>
    </row>
    <row r="33" spans="1:33" x14ac:dyDescent="0.2">
      <c r="A33" s="37">
        <v>29</v>
      </c>
      <c r="B33" s="43" t="str">
        <f t="shared" si="6"/>
        <v>ESRN</v>
      </c>
      <c r="C33" s="43" t="str">
        <f t="shared" si="7"/>
        <v>DOM</v>
      </c>
      <c r="D33" s="44" t="str">
        <f t="shared" si="8"/>
        <v>23H15</v>
      </c>
      <c r="E33" s="43" t="str">
        <f t="shared" si="9"/>
        <v>ESPORTE</v>
      </c>
      <c r="F33" s="45" t="str">
        <f t="shared" si="10"/>
        <v>ESPORTE RECORD</v>
      </c>
      <c r="G33" s="46">
        <f>preços4[[#This Row],[30"]]*preços4[[#This Row],[COEF]]</f>
        <v>8021</v>
      </c>
      <c r="H33" s="46">
        <f t="shared" si="11"/>
        <v>12340</v>
      </c>
      <c r="I33" s="46">
        <f>preços4[[#This Row],[30"]]*1.5</f>
        <v>18510</v>
      </c>
      <c r="J33" s="46">
        <f>preços4[[#This Row],[30"]]*2</f>
        <v>24680</v>
      </c>
      <c r="K33" s="46">
        <f>preços4[[#This Row],[60"]]*2</f>
        <v>49360</v>
      </c>
      <c r="L33" s="47">
        <f t="shared" si="12"/>
        <v>0.65</v>
      </c>
      <c r="M33" s="37"/>
      <c r="N33" s="54">
        <v>29</v>
      </c>
      <c r="O33" s="55" t="s">
        <v>117</v>
      </c>
      <c r="P33" s="62" t="s">
        <v>170</v>
      </c>
      <c r="Q33" s="56" t="s">
        <v>143</v>
      </c>
      <c r="R33" s="56" t="s">
        <v>144</v>
      </c>
      <c r="S33" s="56" t="s">
        <v>145</v>
      </c>
      <c r="T33" s="56" t="s">
        <v>146</v>
      </c>
      <c r="U33" s="57">
        <v>12340</v>
      </c>
      <c r="V33" s="58">
        <v>0.65</v>
      </c>
      <c r="W33" s="37"/>
      <c r="Y33" s="59" t="s">
        <v>112</v>
      </c>
      <c r="Z33" s="59" t="s">
        <v>101</v>
      </c>
      <c r="AA33" s="59" t="s">
        <v>110</v>
      </c>
      <c r="AB33" s="59" t="s">
        <v>48</v>
      </c>
      <c r="AC33" s="59" t="s">
        <v>160</v>
      </c>
      <c r="AD33" s="61">
        <f>AD29*3</f>
        <v>55080</v>
      </c>
      <c r="AE33" s="61">
        <v>180</v>
      </c>
    </row>
    <row r="34" spans="1:33" ht="11.25" customHeight="1" x14ac:dyDescent="0.2">
      <c r="A34" s="54">
        <v>30</v>
      </c>
      <c r="B34" s="43" t="str">
        <f t="shared" si="6"/>
        <v>SDOM</v>
      </c>
      <c r="C34" s="43" t="str">
        <f t="shared" si="7"/>
        <v>DOM</v>
      </c>
      <c r="D34" s="44" t="str">
        <f t="shared" si="8"/>
        <v>00H15</v>
      </c>
      <c r="E34" s="43" t="str">
        <f t="shared" si="9"/>
        <v>SÉRIE</v>
      </c>
      <c r="F34" s="45" t="str">
        <f t="shared" si="10"/>
        <v>SÉRIE DE DOMINGO</v>
      </c>
      <c r="G34" s="46">
        <f>preços4[[#This Row],[30"]]*preços4[[#This Row],[COEF]]</f>
        <v>3903.25</v>
      </c>
      <c r="H34" s="46">
        <f t="shared" si="11"/>
        <v>6005</v>
      </c>
      <c r="I34" s="46">
        <f>preços4[[#This Row],[30"]]*1.5</f>
        <v>9007.5</v>
      </c>
      <c r="J34" s="46">
        <f>preços4[[#This Row],[30"]]*2</f>
        <v>12010</v>
      </c>
      <c r="K34" s="46">
        <f>preços4[[#This Row],[60"]]*2</f>
        <v>24020</v>
      </c>
      <c r="L34" s="47">
        <f t="shared" si="12"/>
        <v>0.65</v>
      </c>
      <c r="N34" s="54">
        <v>30</v>
      </c>
      <c r="O34" s="55" t="s">
        <v>117</v>
      </c>
      <c r="P34" s="62" t="s">
        <v>143</v>
      </c>
      <c r="Q34" s="56" t="s">
        <v>127</v>
      </c>
      <c r="R34" s="56" t="s">
        <v>97</v>
      </c>
      <c r="S34" s="56" t="s">
        <v>147</v>
      </c>
      <c r="T34" s="56" t="s">
        <v>148</v>
      </c>
      <c r="U34" s="57">
        <v>6005</v>
      </c>
      <c r="V34" s="58">
        <v>0.65</v>
      </c>
    </row>
    <row r="35" spans="1:33" x14ac:dyDescent="0.2">
      <c r="A35" s="37">
        <v>31</v>
      </c>
      <c r="B35" s="43" t="str">
        <f t="shared" si="6"/>
        <v/>
      </c>
      <c r="C35" s="43" t="str">
        <f t="shared" si="7"/>
        <v/>
      </c>
      <c r="D35" s="44" t="str">
        <f t="shared" si="8"/>
        <v/>
      </c>
      <c r="E35" s="43" t="str">
        <f t="shared" si="9"/>
        <v/>
      </c>
      <c r="F35" s="45" t="str">
        <f t="shared" si="10"/>
        <v/>
      </c>
      <c r="G35" s="46" t="e">
        <f>preços4[[#This Row],[30"]]*preços4[[#This Row],[COEF]]</f>
        <v>#VALUE!</v>
      </c>
      <c r="H35" s="46" t="str">
        <f t="shared" si="11"/>
        <v/>
      </c>
      <c r="I35" s="46" t="e">
        <f>preços4[[#This Row],[30"]]*1.5</f>
        <v>#VALUE!</v>
      </c>
      <c r="J35" s="46" t="e">
        <f>preços4[[#This Row],[30"]]*2</f>
        <v>#VALUE!</v>
      </c>
      <c r="K35" s="46" t="e">
        <f>preços4[[#This Row],[60"]]*2</f>
        <v>#VALUE!</v>
      </c>
      <c r="L35" s="47" t="str">
        <f t="shared" si="12"/>
        <v/>
      </c>
      <c r="N35" s="54"/>
      <c r="O35" s="55"/>
      <c r="P35" s="62"/>
      <c r="Q35" s="56"/>
      <c r="R35" s="56"/>
      <c r="S35" s="56"/>
      <c r="T35" s="56"/>
      <c r="U35" s="57"/>
      <c r="V35" s="58"/>
      <c r="W35" s="37"/>
      <c r="Y35" s="169" t="s">
        <v>161</v>
      </c>
      <c r="Z35" s="170"/>
      <c r="AA35" s="170"/>
      <c r="AB35" s="170"/>
      <c r="AC35" s="170"/>
      <c r="AD35" s="170"/>
      <c r="AE35" s="170"/>
      <c r="AF35" s="170"/>
      <c r="AG35" s="170"/>
    </row>
    <row r="36" spans="1:33" x14ac:dyDescent="0.2">
      <c r="A36" s="54">
        <v>32</v>
      </c>
      <c r="B36" s="43" t="str">
        <f t="shared" si="6"/>
        <v/>
      </c>
      <c r="C36" s="43" t="str">
        <f t="shared" si="7"/>
        <v/>
      </c>
      <c r="D36" s="44" t="str">
        <f t="shared" si="8"/>
        <v/>
      </c>
      <c r="E36" s="43" t="str">
        <f t="shared" si="9"/>
        <v/>
      </c>
      <c r="F36" s="45" t="str">
        <f t="shared" si="10"/>
        <v/>
      </c>
      <c r="G36" s="46" t="e">
        <f>preços4[[#This Row],[30"]]*preços4[[#This Row],[COEF]]</f>
        <v>#VALUE!</v>
      </c>
      <c r="H36" s="46" t="str">
        <f t="shared" si="11"/>
        <v/>
      </c>
      <c r="I36" s="46" t="e">
        <f>preços4[[#This Row],[30"]]*1.5</f>
        <v>#VALUE!</v>
      </c>
      <c r="J36" s="46" t="e">
        <f>preços4[[#This Row],[30"]]*2</f>
        <v>#VALUE!</v>
      </c>
      <c r="K36" s="46" t="e">
        <f>preços4[[#This Row],[60"]]*2</f>
        <v>#VALUE!</v>
      </c>
      <c r="L36" s="47" t="str">
        <f t="shared" si="12"/>
        <v/>
      </c>
      <c r="N36" s="54"/>
      <c r="O36" s="55"/>
      <c r="P36" s="62"/>
      <c r="Q36" s="56"/>
      <c r="R36" s="56"/>
      <c r="S36" s="56"/>
      <c r="T36" s="56"/>
      <c r="U36" s="57"/>
      <c r="V36" s="58"/>
      <c r="Y36" s="128" t="s">
        <v>56</v>
      </c>
      <c r="Z36" s="128" t="s">
        <v>45</v>
      </c>
      <c r="AA36" s="128" t="s">
        <v>58</v>
      </c>
      <c r="AB36" s="128" t="s">
        <v>48</v>
      </c>
      <c r="AC36" s="128" t="s">
        <v>57</v>
      </c>
      <c r="AD36" s="51">
        <f>VLOOKUP(Y36,$S$3:$U$39,3,0)</f>
        <v>8267</v>
      </c>
      <c r="AE36" s="129">
        <v>10</v>
      </c>
      <c r="AF36" s="129">
        <f>AG36*AD36</f>
        <v>6613.6</v>
      </c>
      <c r="AG36" s="129">
        <v>0.8</v>
      </c>
    </row>
    <row r="37" spans="1:33" x14ac:dyDescent="0.2">
      <c r="A37" s="54">
        <v>33</v>
      </c>
      <c r="B37" s="43" t="str">
        <f t="shared" si="6"/>
        <v/>
      </c>
      <c r="C37" s="43" t="str">
        <f t="shared" si="7"/>
        <v/>
      </c>
      <c r="D37" s="44" t="str">
        <f t="shared" si="8"/>
        <v/>
      </c>
      <c r="E37" s="43" t="str">
        <f t="shared" si="9"/>
        <v/>
      </c>
      <c r="F37" s="45" t="str">
        <f t="shared" si="10"/>
        <v/>
      </c>
      <c r="G37" s="46" t="e">
        <f>preços4[[#This Row],[30"]]*preços4[[#This Row],[COEF]]</f>
        <v>#VALUE!</v>
      </c>
      <c r="H37" s="46" t="str">
        <f t="shared" si="11"/>
        <v/>
      </c>
      <c r="I37" s="46" t="e">
        <f>preços4[[#This Row],[30"]]*1.5</f>
        <v>#VALUE!</v>
      </c>
      <c r="J37" s="46" t="e">
        <f>preços4[[#This Row],[30"]]*2</f>
        <v>#VALUE!</v>
      </c>
      <c r="K37" s="46" t="e">
        <f>preços4[[#This Row],[60"]]*2</f>
        <v>#VALUE!</v>
      </c>
      <c r="L37" s="47" t="str">
        <f t="shared" si="12"/>
        <v/>
      </c>
      <c r="N37" s="54"/>
      <c r="O37" s="55"/>
      <c r="P37" s="62"/>
      <c r="Q37" s="56"/>
      <c r="R37" s="56"/>
      <c r="S37" s="56"/>
      <c r="T37" s="56"/>
      <c r="U37" s="57"/>
      <c r="V37" s="58"/>
      <c r="Y37" s="128" t="s">
        <v>73</v>
      </c>
      <c r="Z37" s="128" t="s">
        <v>45</v>
      </c>
      <c r="AA37" s="128" t="s">
        <v>69</v>
      </c>
      <c r="AB37" s="128" t="s">
        <v>48</v>
      </c>
      <c r="AC37" s="128" t="s">
        <v>75</v>
      </c>
      <c r="AD37" s="51">
        <f t="shared" ref="AD37:AD41" si="13">VLOOKUP(Y37,$S$3:$U$39,3,0)</f>
        <v>7722</v>
      </c>
      <c r="AE37" s="129">
        <v>10</v>
      </c>
      <c r="AF37" s="129">
        <f t="shared" ref="AF37:AF41" si="14">AG37*AD37</f>
        <v>6177.6</v>
      </c>
      <c r="AG37" s="129">
        <v>0.8</v>
      </c>
    </row>
    <row r="38" spans="1:33" x14ac:dyDescent="0.2">
      <c r="A38" s="54">
        <v>34</v>
      </c>
      <c r="B38" s="43" t="str">
        <f t="shared" si="6"/>
        <v/>
      </c>
      <c r="C38" s="43" t="str">
        <f t="shared" si="7"/>
        <v/>
      </c>
      <c r="D38" s="44" t="str">
        <f t="shared" si="8"/>
        <v/>
      </c>
      <c r="E38" s="43" t="str">
        <f t="shared" si="9"/>
        <v/>
      </c>
      <c r="F38" s="45" t="str">
        <f t="shared" si="10"/>
        <v/>
      </c>
      <c r="G38" s="46" t="e">
        <f>preços4[[#This Row],[30"]]*preços4[[#This Row],[COEF]]</f>
        <v>#VALUE!</v>
      </c>
      <c r="H38" s="46" t="str">
        <f t="shared" si="11"/>
        <v/>
      </c>
      <c r="I38" s="46" t="e">
        <f>preços4[[#This Row],[30"]]*1.5</f>
        <v>#VALUE!</v>
      </c>
      <c r="J38" s="46" t="e">
        <f>preços4[[#This Row],[30"]]*2</f>
        <v>#VALUE!</v>
      </c>
      <c r="K38" s="46" t="e">
        <f>preços4[[#This Row],[60"]]*2</f>
        <v>#VALUE!</v>
      </c>
      <c r="L38" s="47" t="str">
        <f t="shared" si="12"/>
        <v/>
      </c>
      <c r="N38" s="54"/>
      <c r="O38" s="55"/>
      <c r="P38" s="62"/>
      <c r="Q38" s="56"/>
      <c r="R38" s="56"/>
      <c r="S38" s="56"/>
      <c r="T38" s="56"/>
      <c r="U38" s="57"/>
      <c r="V38" s="58"/>
      <c r="Y38" s="128" t="s">
        <v>49</v>
      </c>
      <c r="Z38" s="128" t="s">
        <v>45</v>
      </c>
      <c r="AA38" s="128" t="s">
        <v>46</v>
      </c>
      <c r="AB38" s="128" t="s">
        <v>48</v>
      </c>
      <c r="AC38" s="128" t="s">
        <v>89</v>
      </c>
      <c r="AD38" s="51">
        <f t="shared" si="13"/>
        <v>2680</v>
      </c>
      <c r="AE38" s="129">
        <v>10</v>
      </c>
      <c r="AF38" s="129">
        <f t="shared" si="14"/>
        <v>2144</v>
      </c>
      <c r="AG38" s="129">
        <v>0.8</v>
      </c>
    </row>
    <row r="39" spans="1:33" x14ac:dyDescent="0.2">
      <c r="A39" s="54"/>
      <c r="B39" s="43"/>
      <c r="C39" s="43"/>
      <c r="D39" s="44"/>
      <c r="E39" s="43"/>
      <c r="F39" s="45"/>
      <c r="G39" s="46"/>
      <c r="H39" s="46"/>
      <c r="I39" s="46"/>
      <c r="J39" s="46"/>
      <c r="K39" s="46"/>
      <c r="L39" s="47"/>
      <c r="N39" s="54"/>
      <c r="O39" s="64"/>
      <c r="P39" s="65"/>
      <c r="Q39" s="66"/>
      <c r="R39" s="66"/>
      <c r="S39" s="66"/>
      <c r="T39" s="67"/>
      <c r="U39" s="68"/>
      <c r="V39" s="69"/>
      <c r="Y39" s="128" t="s">
        <v>77</v>
      </c>
      <c r="Z39" s="128" t="s">
        <v>45</v>
      </c>
      <c r="AA39" s="128" t="s">
        <v>72</v>
      </c>
      <c r="AB39" s="128" t="s">
        <v>48</v>
      </c>
      <c r="AC39" s="128" t="s">
        <v>100</v>
      </c>
      <c r="AD39" s="51">
        <f t="shared" si="13"/>
        <v>10396</v>
      </c>
      <c r="AE39" s="129">
        <v>10</v>
      </c>
      <c r="AF39" s="129">
        <f t="shared" si="14"/>
        <v>8316.8000000000011</v>
      </c>
      <c r="AG39" s="129">
        <v>0.8</v>
      </c>
    </row>
    <row r="40" spans="1:33" x14ac:dyDescent="0.2">
      <c r="B40" s="43"/>
      <c r="C40" s="43"/>
      <c r="D40" s="44"/>
      <c r="E40" s="43"/>
      <c r="F40" s="45"/>
      <c r="G40" s="46"/>
      <c r="H40" s="46"/>
      <c r="I40" s="46"/>
      <c r="J40" s="46"/>
      <c r="K40" s="46"/>
      <c r="L40" s="47"/>
      <c r="M40" s="34"/>
      <c r="Y40" s="128" t="s">
        <v>116</v>
      </c>
      <c r="Z40" s="128" t="s">
        <v>117</v>
      </c>
      <c r="AA40" s="128" t="s">
        <v>118</v>
      </c>
      <c r="AB40" s="128" t="s">
        <v>119</v>
      </c>
      <c r="AC40" s="128" t="s">
        <v>100</v>
      </c>
      <c r="AD40" s="51">
        <f t="shared" si="13"/>
        <v>3866</v>
      </c>
      <c r="AE40" s="129">
        <v>10</v>
      </c>
      <c r="AF40" s="129">
        <f t="shared" si="14"/>
        <v>3092.8</v>
      </c>
      <c r="AG40" s="129">
        <v>0.8</v>
      </c>
    </row>
    <row r="41" spans="1:33" x14ac:dyDescent="0.2">
      <c r="B41" s="71" t="s">
        <v>149</v>
      </c>
      <c r="C41" s="71"/>
      <c r="D41" s="71"/>
      <c r="E41" s="71"/>
      <c r="F41" s="72" t="s">
        <v>30</v>
      </c>
      <c r="G41" s="73">
        <f>preços4[[#This Row],[30"]]*preços4[[#This Row],[COEF]]</f>
        <v>4951.1150000000007</v>
      </c>
      <c r="H41" s="74">
        <f>D52</f>
        <v>7617.1</v>
      </c>
      <c r="I41" s="74">
        <f>preços4[[#This Row],[30"]]*1.5</f>
        <v>11425.650000000001</v>
      </c>
      <c r="J41" s="74">
        <f>preços4[[#This Row],[30"]]*2</f>
        <v>15234.2</v>
      </c>
      <c r="K41" s="74">
        <f>preços4[[#This Row],[60"]]*2</f>
        <v>30468.400000000001</v>
      </c>
      <c r="L41" s="75">
        <f>IF(B51="","",B51)</f>
        <v>0.65</v>
      </c>
      <c r="Y41" s="128" t="s">
        <v>112</v>
      </c>
      <c r="Z41" s="128" t="s">
        <v>101</v>
      </c>
      <c r="AA41" s="128" t="s">
        <v>110</v>
      </c>
      <c r="AB41" s="128" t="s">
        <v>48</v>
      </c>
      <c r="AC41" s="128" t="s">
        <v>160</v>
      </c>
      <c r="AD41" s="51">
        <f t="shared" si="13"/>
        <v>8267</v>
      </c>
      <c r="AE41" s="129">
        <v>10</v>
      </c>
      <c r="AF41" s="129">
        <f t="shared" si="14"/>
        <v>6613.6</v>
      </c>
      <c r="AG41" s="129">
        <v>0.8</v>
      </c>
    </row>
    <row r="43" spans="1:33" ht="21.75" customHeight="1" x14ac:dyDescent="0.2">
      <c r="B43" s="166" t="s">
        <v>150</v>
      </c>
      <c r="C43" s="167"/>
      <c r="D43" s="168"/>
    </row>
    <row r="44" spans="1:33" x14ac:dyDescent="0.2">
      <c r="B44" s="76"/>
      <c r="C44" s="77"/>
      <c r="D44" s="78"/>
    </row>
    <row r="45" spans="1:33" ht="11.25" customHeight="1" x14ac:dyDescent="0.2">
      <c r="B45" s="79" t="s">
        <v>151</v>
      </c>
      <c r="C45" s="79" t="s">
        <v>52</v>
      </c>
      <c r="D45" s="79" t="s">
        <v>51</v>
      </c>
    </row>
    <row r="46" spans="1:33" x14ac:dyDescent="0.2">
      <c r="B46" s="80">
        <v>0.375</v>
      </c>
      <c r="C46" s="80">
        <v>5</v>
      </c>
      <c r="D46" s="81">
        <f>$D$52*B46</f>
        <v>2856.4125000000004</v>
      </c>
    </row>
    <row r="47" spans="1:33" x14ac:dyDescent="0.2">
      <c r="B47" s="80">
        <v>0.375</v>
      </c>
      <c r="C47" s="80">
        <v>6</v>
      </c>
      <c r="D47" s="81">
        <f t="shared" ref="D47:D51" si="15">$D$52*B47</f>
        <v>2856.4125000000004</v>
      </c>
    </row>
    <row r="48" spans="1:33" x14ac:dyDescent="0.2">
      <c r="B48" s="80">
        <v>0.4</v>
      </c>
      <c r="C48" s="80">
        <v>7</v>
      </c>
      <c r="D48" s="81">
        <f t="shared" si="15"/>
        <v>3046.84</v>
      </c>
    </row>
    <row r="49" spans="2:8" x14ac:dyDescent="0.2">
      <c r="B49" s="80">
        <v>0.4</v>
      </c>
      <c r="C49" s="80">
        <v>8</v>
      </c>
      <c r="D49" s="81">
        <f t="shared" si="15"/>
        <v>3046.84</v>
      </c>
      <c r="G49" s="31"/>
      <c r="H49" s="31"/>
    </row>
    <row r="50" spans="2:8" x14ac:dyDescent="0.2">
      <c r="B50" s="80">
        <v>0.4</v>
      </c>
      <c r="C50" s="80">
        <v>10</v>
      </c>
      <c r="D50" s="81">
        <f t="shared" si="15"/>
        <v>3046.84</v>
      </c>
    </row>
    <row r="51" spans="2:8" x14ac:dyDescent="0.2">
      <c r="B51" s="80">
        <v>0.65</v>
      </c>
      <c r="C51" s="80">
        <v>15</v>
      </c>
      <c r="D51" s="81">
        <f t="shared" si="15"/>
        <v>4951.1150000000007</v>
      </c>
    </row>
    <row r="52" spans="2:8" x14ac:dyDescent="0.2">
      <c r="B52" s="80"/>
      <c r="C52" s="80">
        <v>30</v>
      </c>
      <c r="D52" s="82">
        <v>7617.1</v>
      </c>
      <c r="E52" s="83"/>
    </row>
    <row r="53" spans="2:8" x14ac:dyDescent="0.2">
      <c r="B53" s="80">
        <v>1.5</v>
      </c>
      <c r="C53" s="80">
        <v>45</v>
      </c>
      <c r="D53" s="81">
        <f t="shared" ref="D53:D62" si="16">$D$52*B53</f>
        <v>11425.650000000001</v>
      </c>
    </row>
    <row r="54" spans="2:8" x14ac:dyDescent="0.2">
      <c r="B54" s="80">
        <v>2</v>
      </c>
      <c r="C54" s="80">
        <v>60</v>
      </c>
      <c r="D54" s="81">
        <f t="shared" si="16"/>
        <v>15234.2</v>
      </c>
    </row>
    <row r="55" spans="2:8" x14ac:dyDescent="0.2">
      <c r="B55" s="80"/>
      <c r="C55" s="80">
        <v>75</v>
      </c>
      <c r="D55" s="81">
        <f t="shared" si="16"/>
        <v>0</v>
      </c>
    </row>
    <row r="56" spans="2:8" x14ac:dyDescent="0.2">
      <c r="B56" s="80">
        <v>9</v>
      </c>
      <c r="C56" s="80">
        <v>90</v>
      </c>
      <c r="D56" s="81">
        <f t="shared" si="16"/>
        <v>68553.900000000009</v>
      </c>
    </row>
    <row r="57" spans="2:8" x14ac:dyDescent="0.2">
      <c r="B57" s="80"/>
      <c r="C57" s="80">
        <v>105</v>
      </c>
      <c r="D57" s="81">
        <f t="shared" si="16"/>
        <v>0</v>
      </c>
    </row>
    <row r="58" spans="2:8" x14ac:dyDescent="0.2">
      <c r="B58" s="80">
        <v>4</v>
      </c>
      <c r="C58" s="80">
        <v>120</v>
      </c>
      <c r="D58" s="81">
        <f t="shared" si="16"/>
        <v>30468.400000000001</v>
      </c>
    </row>
    <row r="59" spans="2:8" x14ac:dyDescent="0.2">
      <c r="B59" s="80"/>
      <c r="C59" s="80">
        <v>135</v>
      </c>
      <c r="D59" s="81">
        <f t="shared" si="16"/>
        <v>0</v>
      </c>
    </row>
    <row r="60" spans="2:8" x14ac:dyDescent="0.2">
      <c r="B60" s="80"/>
      <c r="C60" s="80">
        <v>150</v>
      </c>
      <c r="D60" s="81">
        <f t="shared" si="16"/>
        <v>0</v>
      </c>
    </row>
    <row r="61" spans="2:8" x14ac:dyDescent="0.2">
      <c r="B61" s="80"/>
      <c r="C61" s="80">
        <v>165</v>
      </c>
      <c r="D61" s="81">
        <f t="shared" si="16"/>
        <v>0</v>
      </c>
    </row>
    <row r="62" spans="2:8" x14ac:dyDescent="0.2">
      <c r="B62" s="80">
        <v>6</v>
      </c>
      <c r="C62" s="80">
        <v>180</v>
      </c>
      <c r="D62" s="81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42CF-A32F-4830-A883-DC18AA8FF148}">
  <sheetPr>
    <pageSetUpPr fitToPage="1"/>
  </sheetPr>
  <dimension ref="A1:X30"/>
  <sheetViews>
    <sheetView showGridLines="0" tabSelected="1" zoomScale="60" zoomScaleNormal="60" zoomScaleSheetLayoutView="50" workbookViewId="0">
      <selection activeCell="C10" sqref="C10:J10"/>
    </sheetView>
  </sheetViews>
  <sheetFormatPr defaultColWidth="10.28515625" defaultRowHeight="15.75" customHeight="1" x14ac:dyDescent="0.25"/>
  <cols>
    <col min="1" max="1" width="1.7109375" customWidth="1"/>
    <col min="2" max="2" width="25.5703125" customWidth="1"/>
    <col min="3" max="3" width="13.5703125" bestFit="1" customWidth="1"/>
    <col min="4" max="4" width="32.7109375" bestFit="1" customWidth="1"/>
    <col min="5" max="5" width="24.42578125" bestFit="1" customWidth="1"/>
    <col min="6" max="6" width="10.42578125" bestFit="1" customWidth="1"/>
    <col min="7" max="7" width="15" bestFit="1" customWidth="1"/>
    <col min="8" max="8" width="35.28515625" bestFit="1" customWidth="1"/>
    <col min="9" max="9" width="23.28515625" bestFit="1" customWidth="1"/>
    <col min="10" max="10" width="18.140625" bestFit="1" customWidth="1"/>
    <col min="11" max="11" width="1.7109375" customWidth="1"/>
    <col min="12" max="12" width="11.28515625" bestFit="1" customWidth="1"/>
    <col min="13" max="13" width="18.7109375" bestFit="1" customWidth="1"/>
    <col min="14" max="14" width="13.5703125" bestFit="1" customWidth="1"/>
    <col min="15" max="15" width="11.28515625" bestFit="1" customWidth="1"/>
    <col min="16" max="16" width="18.7109375" bestFit="1" customWidth="1"/>
    <col min="17" max="17" width="1.7109375" customWidth="1"/>
    <col min="18" max="18" width="43" bestFit="1" customWidth="1"/>
    <col min="19" max="19" width="11.5703125" bestFit="1" customWidth="1"/>
    <col min="20" max="20" width="13.5703125" bestFit="1" customWidth="1"/>
    <col min="21" max="21" width="1.7109375" customWidth="1"/>
    <col min="22" max="22" width="42.140625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9" t="s">
        <v>174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1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23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2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2" t="s">
        <v>157</v>
      </c>
      <c r="D10" s="183"/>
      <c r="E10" s="183"/>
      <c r="F10" s="183"/>
      <c r="G10" s="183"/>
      <c r="H10" s="183"/>
      <c r="I10" s="183"/>
      <c r="J10" s="184"/>
      <c r="K10" s="2"/>
      <c r="L10" s="185" t="s">
        <v>0</v>
      </c>
      <c r="M10" s="185"/>
      <c r="N10" s="185"/>
      <c r="O10" s="185"/>
      <c r="P10" s="185"/>
      <c r="Q10" s="2"/>
      <c r="R10" s="2"/>
      <c r="S10" s="2"/>
      <c r="T10" s="2"/>
      <c r="U10" s="2"/>
      <c r="V10" s="142" t="s">
        <v>17</v>
      </c>
    </row>
    <row r="11" spans="2:24" ht="27" customHeight="1" x14ac:dyDescent="0.25">
      <c r="C11" s="176" t="s">
        <v>33</v>
      </c>
      <c r="D11" s="176" t="s">
        <v>1</v>
      </c>
      <c r="E11" s="176" t="s">
        <v>2</v>
      </c>
      <c r="F11" s="176"/>
      <c r="G11" s="176" t="s">
        <v>20</v>
      </c>
      <c r="H11" s="176" t="s">
        <v>22</v>
      </c>
      <c r="I11" s="176" t="s">
        <v>19</v>
      </c>
      <c r="J11" s="176" t="s">
        <v>3</v>
      </c>
      <c r="K11" s="3"/>
      <c r="L11" s="174" t="s">
        <v>10</v>
      </c>
      <c r="M11" s="174"/>
      <c r="N11" s="175" t="s">
        <v>4</v>
      </c>
      <c r="O11" s="176" t="s">
        <v>11</v>
      </c>
      <c r="P11" s="176"/>
      <c r="Q11" s="3"/>
      <c r="R11" s="177" t="s">
        <v>18</v>
      </c>
      <c r="S11" s="177"/>
      <c r="T11" s="177"/>
      <c r="U11" s="3"/>
      <c r="V11" s="178" t="s">
        <v>25</v>
      </c>
    </row>
    <row r="12" spans="2:24" ht="27" customHeight="1" x14ac:dyDescent="0.25">
      <c r="C12" s="176"/>
      <c r="D12" s="176"/>
      <c r="E12" s="176"/>
      <c r="F12" s="176"/>
      <c r="G12" s="176"/>
      <c r="H12" s="176"/>
      <c r="I12" s="176"/>
      <c r="J12" s="176"/>
      <c r="K12" s="3"/>
      <c r="L12" s="174"/>
      <c r="M12" s="174"/>
      <c r="N12" s="175"/>
      <c r="O12" s="176"/>
      <c r="P12" s="176"/>
      <c r="Q12" s="3"/>
      <c r="R12" s="177"/>
      <c r="S12" s="177"/>
      <c r="T12" s="177"/>
      <c r="U12" s="3"/>
      <c r="V12" s="178"/>
    </row>
    <row r="13" spans="2:24" ht="33.75" customHeight="1" x14ac:dyDescent="0.25">
      <c r="C13" s="176"/>
      <c r="D13" s="176"/>
      <c r="E13" s="124" t="s">
        <v>5</v>
      </c>
      <c r="F13" s="124" t="s">
        <v>6</v>
      </c>
      <c r="G13" s="176"/>
      <c r="H13" s="176"/>
      <c r="I13" s="176"/>
      <c r="J13" s="176"/>
      <c r="K13" s="3"/>
      <c r="L13" s="125" t="s">
        <v>8</v>
      </c>
      <c r="M13" s="125" t="s">
        <v>9</v>
      </c>
      <c r="N13" s="175"/>
      <c r="O13" s="125" t="s">
        <v>8</v>
      </c>
      <c r="P13" s="125" t="s">
        <v>9</v>
      </c>
      <c r="Q13" s="3"/>
      <c r="R13" s="126" t="s">
        <v>24</v>
      </c>
      <c r="S13" s="126" t="s">
        <v>7</v>
      </c>
      <c r="T13" s="126" t="s">
        <v>12</v>
      </c>
      <c r="U13" s="3"/>
      <c r="V13" s="143"/>
    </row>
    <row r="14" spans="2:24" ht="29.25" customHeight="1" x14ac:dyDescent="0.25">
      <c r="B14" s="130" t="s">
        <v>27</v>
      </c>
      <c r="C14" s="93" t="s">
        <v>149</v>
      </c>
      <c r="D14" s="90" t="str">
        <f>IF(ISERROR(VLOOKUP(C14,'GRADE OUT 25'!$B:$G,5,0)),"",VLOOKUP(C14,'GRADE OUT 25'!$B:$G,5,0))</f>
        <v>ROTATIVO</v>
      </c>
      <c r="E14" s="102">
        <f>IF(ISERROR(VLOOKUP(C14,'GRADE OUT 25'!$B:$G,2,0)),"",VLOOKUP(C14,'GRADE OUT 25'!$B:$G,2,0))</f>
        <v>0</v>
      </c>
      <c r="F14" s="89">
        <f>IF(ISERROR(VLOOKUP(C14,'GRADE OUT 25'!$B:$G,3,0)),"",VLOOKUP(C14,'GRADE OUT 25'!$B:$G,3,0))</f>
        <v>0</v>
      </c>
      <c r="G14" s="94" t="s">
        <v>176</v>
      </c>
      <c r="H14" s="94" t="s">
        <v>155</v>
      </c>
      <c r="I14" s="95">
        <v>5</v>
      </c>
      <c r="J14" s="96">
        <v>160</v>
      </c>
      <c r="K14" s="4"/>
      <c r="L14" s="118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9">
        <f t="shared" ref="M14" si="0">L14*$J14</f>
        <v>457026.00000000006</v>
      </c>
      <c r="N14" s="120"/>
      <c r="O14" s="121">
        <f t="shared" ref="O14" si="1">L14-L14*N14</f>
        <v>2856.4125000000004</v>
      </c>
      <c r="P14" s="122">
        <f t="shared" ref="P14" si="2">O14*$J14</f>
        <v>457026.00000000006</v>
      </c>
      <c r="Q14" s="4"/>
      <c r="R14" s="112" t="str">
        <f>IF(ISERROR(VLOOKUP(C14,'GRADE OUT 25'!$B:$G,5,0)),"",VLOOKUP(C14,'GRADE OUT 25'!$B:$G,5,0))</f>
        <v>ROTATIVO</v>
      </c>
      <c r="S14" s="113">
        <f>IF(ISERROR(VLOOKUP(C14,'GRADE OUT 25'!$B:$H,7,0)),0,VLOOKUP(C14,'GRADE OUT 25'!$B:$H,7,0))</f>
        <v>7617.1</v>
      </c>
      <c r="T14" s="114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hidden="1" customHeight="1" x14ac:dyDescent="0.5">
      <c r="B15" s="29"/>
    </row>
    <row r="16" spans="2:24" ht="29.25" hidden="1" customHeight="1" x14ac:dyDescent="0.25">
      <c r="B16" s="171" t="s">
        <v>28</v>
      </c>
      <c r="C16" s="93"/>
      <c r="D16" s="90" t="str">
        <f>IF(ISERROR(VLOOKUP(C16,'GRADE OUT 25'!$B:$G,5,0)),"",VLOOKUP(C16,'GRADE OUT 25'!$B:$G,5,0))</f>
        <v/>
      </c>
      <c r="E16" s="102" t="str">
        <f>IF(ISERROR(VLOOKUP(C16,'GRADE OUT 25'!$B:$G,2,0)),"",VLOOKUP(C16,'GRADE OUT 25'!$B:$G,2,0))</f>
        <v/>
      </c>
      <c r="F16" s="89" t="str">
        <f>IF(ISERROR(VLOOKUP(C16,'GRADE OUT 25'!$B:$G,3,0)),"",VLOOKUP(C16,'GRADE OUT 25'!$B:$G,3,0))</f>
        <v/>
      </c>
      <c r="G16" s="94"/>
      <c r="H16" s="94"/>
      <c r="I16" s="95"/>
      <c r="J16" s="96"/>
      <c r="K16" s="4"/>
      <c r="L16" s="118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9">
        <f t="shared" ref="M16:M18" si="3">L16*$J16</f>
        <v>0</v>
      </c>
      <c r="N16" s="120"/>
      <c r="O16" s="121">
        <f t="shared" ref="O16:O18" si="4">L16-L16*N16</f>
        <v>0</v>
      </c>
      <c r="P16" s="122">
        <f t="shared" ref="P16:P18" si="5">O16*$J16</f>
        <v>0</v>
      </c>
      <c r="Q16" s="4"/>
      <c r="R16" s="112" t="str">
        <f>IF(ISERROR(VLOOKUP(C16,'GRADE OUT 25'!$B:$G,5,0)),"",VLOOKUP(C16,'GRADE OUT 25'!$B:$G,5,0))</f>
        <v/>
      </c>
      <c r="S16" s="113">
        <f>IF(ISERROR(VLOOKUP(C16,'GRADE OUT 25'!$B:$H,7,0)),0,VLOOKUP(C16,'GRADE OUT 25'!$B:$H,7,0))</f>
        <v>0</v>
      </c>
      <c r="T16" s="114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7">
        <f t="shared" ref="V16:V18" si="6">P16*20%</f>
        <v>0</v>
      </c>
    </row>
    <row r="17" spans="1:22" ht="29.25" hidden="1" customHeight="1" x14ac:dyDescent="0.25">
      <c r="B17" s="171"/>
      <c r="C17" s="93"/>
      <c r="D17" s="90" t="str">
        <f>IF(ISERROR(VLOOKUP(C17,'GRADE OUT 25'!$B:$G,5,0)),"",VLOOKUP(C17,'GRADE OUT 25'!$B:$G,5,0))</f>
        <v/>
      </c>
      <c r="E17" s="102" t="str">
        <f>IF(ISERROR(VLOOKUP(C17,'GRADE OUT 25'!$B:$G,2,0)),"",VLOOKUP(C17,'GRADE OUT 25'!$B:$G,2,0))</f>
        <v/>
      </c>
      <c r="F17" s="89" t="str">
        <f>IF(ISERROR(VLOOKUP(C17,'GRADE OUT 25'!$B:$G,3,0)),"",VLOOKUP(C17,'GRADE OUT 25'!$B:$G,3,0))</f>
        <v/>
      </c>
      <c r="G17" s="94"/>
      <c r="H17" s="94"/>
      <c r="I17" s="95"/>
      <c r="J17" s="96"/>
      <c r="K17" s="4"/>
      <c r="L17" s="104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5">
        <f t="shared" si="3"/>
        <v>0</v>
      </c>
      <c r="N17" s="100"/>
      <c r="O17" s="108">
        <f t="shared" si="4"/>
        <v>0</v>
      </c>
      <c r="P17" s="109">
        <f t="shared" si="5"/>
        <v>0</v>
      </c>
      <c r="Q17" s="4"/>
      <c r="R17" s="112" t="str">
        <f>IF(ISERROR(VLOOKUP(C17,'GRADE OUT 25'!$B:$G,5,0)),"",VLOOKUP(C17,'GRADE OUT 25'!$B:$G,5,0))</f>
        <v/>
      </c>
      <c r="S17" s="113">
        <f>IF(ISERROR(VLOOKUP(C17,'GRADE OUT 25'!$B:$H,7,0)),0,VLOOKUP(C17,'GRADE OUT 25'!$B:$H,7,0))</f>
        <v>0</v>
      </c>
      <c r="T17" s="114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7">
        <f t="shared" si="6"/>
        <v>0</v>
      </c>
    </row>
    <row r="18" spans="1:22" ht="29.25" hidden="1" customHeight="1" x14ac:dyDescent="0.25">
      <c r="B18" s="171"/>
      <c r="C18" s="93"/>
      <c r="D18" s="90" t="str">
        <f>IF(ISERROR(VLOOKUP(C18,'GRADE OUT 25'!$B:$G,5,0)),"",VLOOKUP(C18,'GRADE OUT 25'!$B:$G,5,0))</f>
        <v/>
      </c>
      <c r="E18" s="103" t="str">
        <f>IF(ISERROR(VLOOKUP(C18,'GRADE OUT 25'!$B:$G,2,0)),"",VLOOKUP(C18,'GRADE OUT 25'!$B:$G,2,0))</f>
        <v/>
      </c>
      <c r="F18" s="91" t="str">
        <f>IF(ISERROR(VLOOKUP(C18,'GRADE OUT 25'!$B:$G,3,0)),"",VLOOKUP(C18,'GRADE OUT 25'!$B:$G,3,0))</f>
        <v/>
      </c>
      <c r="G18" s="97"/>
      <c r="H18" s="94"/>
      <c r="I18" s="98"/>
      <c r="J18" s="99"/>
      <c r="K18" s="4"/>
      <c r="L18" s="106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7">
        <f t="shared" si="3"/>
        <v>0</v>
      </c>
      <c r="N18" s="101"/>
      <c r="O18" s="110">
        <f t="shared" si="4"/>
        <v>0</v>
      </c>
      <c r="P18" s="111">
        <f t="shared" si="5"/>
        <v>0</v>
      </c>
      <c r="Q18" s="4"/>
      <c r="R18" s="115" t="str">
        <f>IF(ISERROR(VLOOKUP(C18,'GRADE OUT 25'!$B:$G,5,0)),"",VLOOKUP(C18,'GRADE OUT 25'!$B:$G,5,0))</f>
        <v/>
      </c>
      <c r="S18" s="116">
        <f>IF(ISERROR(VLOOKUP(C18,'GRADE OUT 25'!$B:$H,7,0)),0,VLOOKUP(C18,'GRADE OUT 25'!$B:$H,7,0))</f>
        <v>0</v>
      </c>
      <c r="T18" s="117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7">
        <f t="shared" si="6"/>
        <v>0</v>
      </c>
    </row>
    <row r="19" spans="1:22" ht="15.75" hidden="1" customHeight="1" x14ac:dyDescent="0.5">
      <c r="B19" s="29"/>
    </row>
    <row r="20" spans="1:22" ht="29.25" hidden="1" customHeight="1" x14ac:dyDescent="0.25">
      <c r="A20" s="30"/>
      <c r="B20" s="171" t="s">
        <v>29</v>
      </c>
      <c r="C20" s="93"/>
      <c r="D20" s="90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89" t="str">
        <f>IF(ISERROR(VLOOKUP(C20,'GRADE OUT 25'!$B:$G,3,0)),"",VLOOKUP(C20,'GRADE OUT 25'!$B:$G,3,0))</f>
        <v/>
      </c>
      <c r="G20" s="94"/>
      <c r="H20" s="94"/>
      <c r="I20" s="95"/>
      <c r="J20" s="96"/>
      <c r="K20" s="4"/>
      <c r="L20" s="118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9">
        <f t="shared" ref="M20:M22" si="7">L20*$J20</f>
        <v>0</v>
      </c>
      <c r="N20" s="120"/>
      <c r="O20" s="121">
        <f t="shared" ref="O20:O22" si="8">L20-L20*N20</f>
        <v>0</v>
      </c>
      <c r="P20" s="122">
        <f t="shared" ref="P20:P22" si="9">O20*$J20</f>
        <v>0</v>
      </c>
      <c r="Q20" s="4"/>
      <c r="R20" s="112" t="str">
        <f>IF(ISERROR(VLOOKUP(C20,'GRADE OUT 25'!$B:$G,5,0)),"",VLOOKUP(C20,'GRADE OUT 25'!$B:$G,5,0))</f>
        <v/>
      </c>
      <c r="S20" s="113">
        <f>IF(ISERROR(VLOOKUP(C20,'GRADE OUT 25'!$B:$H,7,0)),0,VLOOKUP(C20,'GRADE OUT 25'!$B:$H,7,0))</f>
        <v>0</v>
      </c>
      <c r="T20" s="114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1:22" ht="29.25" hidden="1" customHeight="1" x14ac:dyDescent="0.25">
      <c r="A21" s="30"/>
      <c r="B21" s="171"/>
      <c r="C21" s="93"/>
      <c r="D21" s="90" t="str">
        <f>IF(ISERROR(VLOOKUP(C21,'GRADE OUT 25'!$B:$G,5,0)),"",VLOOKUP(C21,'GRADE OUT 25'!$B:$G,5,0))</f>
        <v/>
      </c>
      <c r="E21" s="102" t="str">
        <f>IF(ISERROR(VLOOKUP(C21,'GRADE OUT 25'!$B:$G,2,0)),"",VLOOKUP(C21,'GRADE OUT 25'!$B:$G,2,0))</f>
        <v/>
      </c>
      <c r="F21" s="89" t="str">
        <f>IF(ISERROR(VLOOKUP(C21,'GRADE OUT 25'!$B:$G,3,0)),"",VLOOKUP(C21,'GRADE OUT 25'!$B:$G,3,0))</f>
        <v/>
      </c>
      <c r="G21" s="94"/>
      <c r="H21" s="94"/>
      <c r="I21" s="95"/>
      <c r="J21" s="96"/>
      <c r="K21" s="4"/>
      <c r="L21" s="104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5">
        <f t="shared" si="7"/>
        <v>0</v>
      </c>
      <c r="N21" s="100"/>
      <c r="O21" s="108">
        <f t="shared" si="8"/>
        <v>0</v>
      </c>
      <c r="P21" s="109">
        <f t="shared" si="9"/>
        <v>0</v>
      </c>
      <c r="Q21" s="4"/>
      <c r="R21" s="112" t="str">
        <f>IF(ISERROR(VLOOKUP(C21,'GRADE OUT 25'!$B:$G,5,0)),"",VLOOKUP(C21,'GRADE OUT 25'!$B:$G,5,0))</f>
        <v/>
      </c>
      <c r="S21" s="113">
        <f>IF(ISERROR(VLOOKUP(C21,'GRADE OUT 25'!$B:$H,7,0)),0,VLOOKUP(C21,'GRADE OUT 25'!$B:$H,7,0))</f>
        <v>0</v>
      </c>
      <c r="T21" s="114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1:22" ht="29.25" hidden="1" customHeight="1" x14ac:dyDescent="0.25">
      <c r="A22" s="30"/>
      <c r="B22" s="171"/>
      <c r="C22" s="93"/>
      <c r="D22" s="90" t="str">
        <f>IF(ISERROR(VLOOKUP(C22,'GRADE OUT 25'!$B:$G,5,0)),"",VLOOKUP(C22,'GRADE OUT 25'!$B:$G,5,0))</f>
        <v/>
      </c>
      <c r="E22" s="103" t="str">
        <f>IF(ISERROR(VLOOKUP(C22,'GRADE OUT 25'!$B:$G,2,0)),"",VLOOKUP(C22,'GRADE OUT 25'!$B:$G,2,0))</f>
        <v/>
      </c>
      <c r="F22" s="91" t="str">
        <f>IF(ISERROR(VLOOKUP(C22,'GRADE OUT 25'!$B:$G,3,0)),"",VLOOKUP(C22,'GRADE OUT 25'!$B:$G,3,0))</f>
        <v/>
      </c>
      <c r="G22" s="97"/>
      <c r="H22" s="94"/>
      <c r="I22" s="98"/>
      <c r="J22" s="99"/>
      <c r="K22" s="4"/>
      <c r="L22" s="106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7">
        <f t="shared" si="7"/>
        <v>0</v>
      </c>
      <c r="N22" s="101"/>
      <c r="O22" s="110">
        <f t="shared" si="8"/>
        <v>0</v>
      </c>
      <c r="P22" s="111">
        <f t="shared" si="9"/>
        <v>0</v>
      </c>
      <c r="Q22" s="4"/>
      <c r="R22" s="115" t="str">
        <f>IF(ISERROR(VLOOKUP(C22,'GRADE OUT 25'!$B:$G,5,0)),"",VLOOKUP(C22,'GRADE OUT 25'!$B:$G,5,0))</f>
        <v/>
      </c>
      <c r="S22" s="116">
        <f>IF(ISERROR(VLOOKUP(C22,'GRADE OUT 25'!$B:$H,7,0)),0,VLOOKUP(C22,'GRADE OUT 25'!$B:$H,7,0))</f>
        <v>0</v>
      </c>
      <c r="T22" s="117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1:22" ht="15.75" customHeight="1" x14ac:dyDescent="0.5">
      <c r="B23" s="29"/>
    </row>
    <row r="24" spans="1:22" ht="29.25" customHeight="1" x14ac:dyDescent="0.25">
      <c r="B24" s="130" t="s">
        <v>30</v>
      </c>
      <c r="C24" s="93" t="s">
        <v>149</v>
      </c>
      <c r="D24" s="90" t="str">
        <f>IF(ISERROR(VLOOKUP(C24,'GRADE OUT 25'!$B:$G,5,0)),"",VLOOKUP(C24,'GRADE OUT 25'!$B:$G,5,0))</f>
        <v>ROTATIVO</v>
      </c>
      <c r="E24" s="102">
        <f>IF(ISERROR(VLOOKUP(C24,'GRADE OUT 25'!$B:$G,2,0)),"",VLOOKUP(C24,'GRADE OUT 25'!$B:$G,2,0))</f>
        <v>0</v>
      </c>
      <c r="F24" s="89">
        <f>IF(ISERROR(VLOOKUP(C24,'GRADE OUT 25'!$B:$G,3,0)),"",VLOOKUP(C24,'GRADE OUT 25'!$B:$G,3,0))</f>
        <v>0</v>
      </c>
      <c r="G24" s="94" t="s">
        <v>176</v>
      </c>
      <c r="H24" s="94" t="s">
        <v>156</v>
      </c>
      <c r="I24" s="98">
        <v>30</v>
      </c>
      <c r="J24" s="99">
        <v>60</v>
      </c>
      <c r="K24" s="4"/>
      <c r="L24" s="118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9">
        <f t="shared" ref="M24" si="10">L24*$J24</f>
        <v>457026</v>
      </c>
      <c r="N24" s="120"/>
      <c r="O24" s="121">
        <f t="shared" ref="O24" si="11">L24-L24*N24</f>
        <v>7617.1</v>
      </c>
      <c r="P24" s="122">
        <f t="shared" ref="P24" si="12">O24*$J24</f>
        <v>457026</v>
      </c>
      <c r="Q24" s="4"/>
      <c r="R24" s="112" t="str">
        <f>IF(ISERROR(VLOOKUP(C24,'GRADE OUT 25'!$B:$G,5,0)),"",VLOOKUP(C24,'GRADE OUT 25'!$B:$G,5,0))</f>
        <v>ROTATIVO</v>
      </c>
      <c r="S24" s="113">
        <f>IF(ISERROR(VLOOKUP(C24,'GRADE OUT 25'!$B:$H,7,0)),0,VLOOKUP(C24,'GRADE OUT 25'!$B:$H,7,0))</f>
        <v>7617.1</v>
      </c>
      <c r="T24" s="114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1:22" ht="9.75" customHeight="1" x14ac:dyDescent="0.25"/>
    <row r="26" spans="1:22" ht="18" customHeight="1" x14ac:dyDescent="0.25"/>
    <row r="27" spans="1:22" ht="51" customHeight="1" x14ac:dyDescent="0.25">
      <c r="B27" s="172" t="s">
        <v>23</v>
      </c>
      <c r="C27" s="173"/>
      <c r="D27" s="173"/>
      <c r="E27" s="173"/>
      <c r="F27" s="173"/>
      <c r="G27" s="173"/>
      <c r="H27" s="173"/>
      <c r="I27" s="131"/>
      <c r="J27" s="132">
        <f>SUM(J14:J24)</f>
        <v>220</v>
      </c>
      <c r="K27" s="5"/>
      <c r="L27" s="133"/>
      <c r="M27" s="134">
        <f>SUM(M14:M24)</f>
        <v>914052</v>
      </c>
      <c r="N27" s="135"/>
      <c r="O27" s="136"/>
      <c r="P27" s="137">
        <f>SUM(P14:P24)</f>
        <v>914052</v>
      </c>
      <c r="Q27" s="5"/>
      <c r="R27" s="138"/>
      <c r="S27" s="139"/>
      <c r="T27" s="140"/>
      <c r="U27" s="5"/>
      <c r="V27" s="141">
        <f>SUM(V16:V18)</f>
        <v>0</v>
      </c>
    </row>
    <row r="28" spans="1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144"/>
      <c r="Q30" s="6"/>
      <c r="R30" s="6"/>
      <c r="S30" s="6"/>
      <c r="T30" s="6"/>
      <c r="U30" s="6"/>
      <c r="V30" s="6"/>
    </row>
  </sheetData>
  <mergeCells count="18">
    <mergeCell ref="R11:T12"/>
    <mergeCell ref="V11:V12"/>
    <mergeCell ref="B16:B18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20:B22"/>
    <mergeCell ref="B27:H27"/>
    <mergeCell ref="L11:M12"/>
    <mergeCell ref="N11:N13"/>
    <mergeCell ref="O11:P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815CE5-0CBB-4934-9F2C-FB8C4C3A9A29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824A-2850-4F16-9EA8-B9C039BB4514}">
  <dimension ref="A1:O5"/>
  <sheetViews>
    <sheetView workbookViewId="0">
      <selection activeCell="F19" sqref="F19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6" t="s">
        <v>174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1:15" ht="26.25" thickBot="1" x14ac:dyDescent="0.3">
      <c r="A2" s="146" t="s">
        <v>177</v>
      </c>
      <c r="B2" s="147" t="s">
        <v>178</v>
      </c>
      <c r="C2" s="148" t="s">
        <v>179</v>
      </c>
      <c r="D2" s="147" t="s">
        <v>180</v>
      </c>
      <c r="E2" s="189" t="s">
        <v>181</v>
      </c>
      <c r="F2" s="189"/>
      <c r="G2" s="149" t="s">
        <v>182</v>
      </c>
      <c r="H2" s="149" t="s">
        <v>183</v>
      </c>
      <c r="I2" s="149" t="s">
        <v>184</v>
      </c>
      <c r="J2" s="190" t="s">
        <v>185</v>
      </c>
      <c r="K2" s="191"/>
      <c r="L2" s="150" t="s">
        <v>186</v>
      </c>
      <c r="M2" s="151" t="s">
        <v>187</v>
      </c>
      <c r="N2" s="152" t="s">
        <v>188</v>
      </c>
      <c r="O2" s="153" t="s">
        <v>189</v>
      </c>
    </row>
    <row r="3" spans="1:15" ht="51" x14ac:dyDescent="0.25">
      <c r="A3" s="154" t="s">
        <v>190</v>
      </c>
      <c r="B3" s="155" t="s">
        <v>191</v>
      </c>
      <c r="C3" s="155" t="s">
        <v>192</v>
      </c>
      <c r="D3" s="156" t="s">
        <v>193</v>
      </c>
      <c r="E3" s="155">
        <v>1</v>
      </c>
      <c r="F3" s="155" t="s">
        <v>194</v>
      </c>
      <c r="G3" s="155" t="s">
        <v>192</v>
      </c>
      <c r="H3" s="157">
        <v>400000</v>
      </c>
      <c r="I3" s="158" t="s">
        <v>195</v>
      </c>
      <c r="J3" s="159">
        <v>91</v>
      </c>
      <c r="K3" s="155" t="s">
        <v>196</v>
      </c>
      <c r="L3" s="160">
        <f>J3*H3/1000</f>
        <v>36400</v>
      </c>
      <c r="M3" s="161">
        <v>0</v>
      </c>
      <c r="N3" s="159">
        <f>J3-(J3*M3)</f>
        <v>91</v>
      </c>
      <c r="O3" s="162">
        <f t="shared" ref="O3:O4" si="0">L3-(L3*M3)</f>
        <v>36400</v>
      </c>
    </row>
    <row r="4" spans="1:15" x14ac:dyDescent="0.25">
      <c r="A4" s="154" t="s">
        <v>197</v>
      </c>
      <c r="B4" s="155" t="s">
        <v>198</v>
      </c>
      <c r="C4" s="155" t="s">
        <v>199</v>
      </c>
      <c r="D4" s="156" t="s">
        <v>200</v>
      </c>
      <c r="E4" s="155">
        <v>1</v>
      </c>
      <c r="F4" s="155" t="s">
        <v>194</v>
      </c>
      <c r="G4" s="155" t="s">
        <v>201</v>
      </c>
      <c r="H4" s="157">
        <v>140000</v>
      </c>
      <c r="I4" s="158" t="s">
        <v>195</v>
      </c>
      <c r="J4" s="159">
        <v>400</v>
      </c>
      <c r="K4" s="155" t="s">
        <v>196</v>
      </c>
      <c r="L4" s="159">
        <f>J4*H4/1000</f>
        <v>56000</v>
      </c>
      <c r="M4" s="161">
        <v>0</v>
      </c>
      <c r="N4" s="159">
        <f t="shared" ref="N4" si="1">J4-(J4*M4)</f>
        <v>400</v>
      </c>
      <c r="O4" s="163">
        <f t="shared" si="0"/>
        <v>56000</v>
      </c>
    </row>
    <row r="5" spans="1:15" ht="21" x14ac:dyDescent="0.25">
      <c r="A5" s="192" t="s">
        <v>9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  <c r="L5" s="164">
        <f>SUM(L3:L4)</f>
        <v>92400</v>
      </c>
      <c r="M5" s="161">
        <v>0</v>
      </c>
      <c r="N5" s="145"/>
      <c r="O5" s="165">
        <f>SUM(O3:O4)</f>
        <v>92400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2025-10-21T13:07:34Z</dcterms:modified>
</cp:coreProperties>
</file>